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https://d.docs.live.net/d716dd93400348be/eRepublik/Economia/Empresas/Gerenciamento de Empresas/"/>
    </mc:Choice>
  </mc:AlternateContent>
  <xr:revisionPtr revIDLastSave="0" documentId="8_{81B324BB-B77B-4954-A593-E569FA01727D}" xr6:coauthVersionLast="47" xr6:coauthVersionMax="47" xr10:uidLastSave="{00000000-0000-0000-0000-000000000000}"/>
  <bookViews>
    <workbookView xWindow="-120" yWindow="-120" windowWidth="29040" windowHeight="15720" tabRatio="740" xr2:uid="{00000000-000D-0000-FFFF-FFFF00000000}"/>
  </bookViews>
  <sheets>
    <sheet name="General information" sheetId="7" r:id="rId1"/>
    <sheet name="Houses" sheetId="1" r:id="rId2"/>
    <sheet name="Weapons" sheetId="2" r:id="rId3"/>
    <sheet name="Airplanes" sheetId="4" r:id="rId4"/>
    <sheet name="Food" sheetId="3" r:id="rId5"/>
    <sheet name="Consolidated Results" sheetId="8" r:id="rId6"/>
    <sheet name="Consolidated Stock" sheetId="10" r:id="rId7"/>
    <sheet name="Return on Investment" sheetId="13" r:id="rId8"/>
    <sheet name="Effective Tax" sheetId="5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9" i="1"/>
  <c r="E8" i="1"/>
  <c r="E7" i="1"/>
  <c r="E6" i="1"/>
  <c r="E5" i="1"/>
  <c r="P42" i="2"/>
  <c r="P41" i="2"/>
  <c r="P40" i="2"/>
  <c r="Q40" i="2" s="1"/>
  <c r="P39" i="2"/>
  <c r="M33" i="4"/>
  <c r="N33" i="4"/>
  <c r="O33" i="4" s="1"/>
  <c r="O35" i="4" s="1"/>
  <c r="M36" i="4"/>
  <c r="M35" i="4"/>
  <c r="M34" i="4"/>
  <c r="N34" i="4" s="1"/>
  <c r="O34" i="4" s="1"/>
  <c r="P43" i="3"/>
  <c r="P42" i="3"/>
  <c r="P41" i="3"/>
  <c r="Q42" i="3"/>
  <c r="R42" i="3" s="1"/>
  <c r="E30" i="7"/>
  <c r="E31" i="7"/>
  <c r="E32" i="7"/>
  <c r="M30" i="7"/>
  <c r="H9" i="7"/>
  <c r="D38" i="1" s="1"/>
  <c r="G9" i="7"/>
  <c r="D5" i="1" s="1"/>
  <c r="F5" i="1" s="1"/>
  <c r="W43" i="13"/>
  <c r="W41" i="13"/>
  <c r="W40" i="13"/>
  <c r="J43" i="13"/>
  <c r="J41" i="13"/>
  <c r="J40" i="13"/>
  <c r="W31" i="13"/>
  <c r="W29" i="13"/>
  <c r="W28" i="13"/>
  <c r="J31" i="13"/>
  <c r="J29" i="13"/>
  <c r="J28" i="13"/>
  <c r="W19" i="13"/>
  <c r="W17" i="13"/>
  <c r="W16" i="13"/>
  <c r="J19" i="13"/>
  <c r="J17" i="13"/>
  <c r="J16" i="13"/>
  <c r="W7" i="13"/>
  <c r="W5" i="13"/>
  <c r="W4" i="13"/>
  <c r="J7" i="13"/>
  <c r="J5" i="13"/>
  <c r="J4" i="13"/>
  <c r="Q46" i="13"/>
  <c r="R46" i="13" s="1"/>
  <c r="S46" i="13" s="1"/>
  <c r="D46" i="13"/>
  <c r="E46" i="13" s="1"/>
  <c r="F46" i="13" s="1"/>
  <c r="Q45" i="13"/>
  <c r="D45" i="13"/>
  <c r="V44" i="13"/>
  <c r="Q44" i="13"/>
  <c r="I44" i="13"/>
  <c r="D44" i="13"/>
  <c r="Q43" i="13"/>
  <c r="D43" i="13"/>
  <c r="V42" i="13"/>
  <c r="Q42" i="13"/>
  <c r="I42" i="13"/>
  <c r="D42" i="13"/>
  <c r="Q41" i="13"/>
  <c r="D41" i="13"/>
  <c r="Q40" i="13"/>
  <c r="D40" i="13"/>
  <c r="Q34" i="13"/>
  <c r="Q33" i="13"/>
  <c r="V32" i="13"/>
  <c r="Q32" i="13"/>
  <c r="Q31" i="13"/>
  <c r="V30" i="13"/>
  <c r="Q30" i="13"/>
  <c r="Q29" i="13"/>
  <c r="Q28" i="13"/>
  <c r="D34" i="13"/>
  <c r="D33" i="13"/>
  <c r="I32" i="13"/>
  <c r="D32" i="13"/>
  <c r="D31" i="13"/>
  <c r="I30" i="13"/>
  <c r="D30" i="13"/>
  <c r="D29" i="13"/>
  <c r="D28" i="13"/>
  <c r="Q22" i="13"/>
  <c r="Q21" i="13"/>
  <c r="V20" i="13"/>
  <c r="Q20" i="13"/>
  <c r="Q19" i="13"/>
  <c r="V18" i="13"/>
  <c r="Q18" i="13"/>
  <c r="Q17" i="13"/>
  <c r="Q16" i="13"/>
  <c r="I20" i="13"/>
  <c r="I18" i="13"/>
  <c r="D22" i="13"/>
  <c r="D21" i="13"/>
  <c r="D20" i="13"/>
  <c r="D19" i="13"/>
  <c r="D18" i="13"/>
  <c r="D17" i="13"/>
  <c r="D16" i="13"/>
  <c r="V8" i="13"/>
  <c r="V6" i="13"/>
  <c r="I8" i="13"/>
  <c r="I6" i="13"/>
  <c r="S10" i="13"/>
  <c r="Q10" i="13"/>
  <c r="S9" i="13"/>
  <c r="Q9" i="13"/>
  <c r="Q8" i="13"/>
  <c r="Q7" i="13"/>
  <c r="Q6" i="13"/>
  <c r="Q5" i="13"/>
  <c r="Q4" i="13"/>
  <c r="D10" i="13"/>
  <c r="D9" i="13"/>
  <c r="D8" i="13"/>
  <c r="D7" i="13"/>
  <c r="D6" i="13"/>
  <c r="D5" i="13"/>
  <c r="D4" i="13"/>
  <c r="L2" i="7"/>
  <c r="P22" i="7"/>
  <c r="O22" i="7"/>
  <c r="E5" i="3" s="1"/>
  <c r="P9" i="7"/>
  <c r="D19" i="4" s="1"/>
  <c r="O9" i="7"/>
  <c r="D29" i="4" s="1"/>
  <c r="H22" i="7"/>
  <c r="E39" i="2" s="1"/>
  <c r="J39" i="2" s="1"/>
  <c r="G22" i="7"/>
  <c r="E8" i="2" s="1"/>
  <c r="F2" i="7" a="1"/>
  <c r="F2" i="7" s="1"/>
  <c r="D30" i="10"/>
  <c r="G30" i="10" s="1"/>
  <c r="D29" i="10"/>
  <c r="G29" i="10" s="1"/>
  <c r="D28" i="10"/>
  <c r="G28" i="10" s="1"/>
  <c r="D27" i="10"/>
  <c r="G27" i="10" s="1"/>
  <c r="D26" i="10"/>
  <c r="G26" i="10" s="1"/>
  <c r="F30" i="10"/>
  <c r="F29" i="10"/>
  <c r="F28" i="10"/>
  <c r="F27" i="10"/>
  <c r="F26" i="10"/>
  <c r="K4" i="10"/>
  <c r="M4" i="10"/>
  <c r="K5" i="10"/>
  <c r="M5" i="10"/>
  <c r="K6" i="10"/>
  <c r="M6" i="10"/>
  <c r="K7" i="10"/>
  <c r="M7" i="10"/>
  <c r="K8" i="10"/>
  <c r="M8" i="10"/>
  <c r="K9" i="10"/>
  <c r="M9" i="10"/>
  <c r="K10" i="10"/>
  <c r="M10" i="10"/>
  <c r="K14" i="10"/>
  <c r="M14" i="10"/>
  <c r="K15" i="10"/>
  <c r="M15" i="10"/>
  <c r="K16" i="10"/>
  <c r="M16" i="10"/>
  <c r="K17" i="10"/>
  <c r="M17" i="10"/>
  <c r="K18" i="10"/>
  <c r="M18" i="10"/>
  <c r="K19" i="10"/>
  <c r="M19" i="10"/>
  <c r="K20" i="10"/>
  <c r="M20" i="10"/>
  <c r="K21" i="10"/>
  <c r="M21" i="10"/>
  <c r="K22" i="10"/>
  <c r="M22" i="10"/>
  <c r="J12" i="10"/>
  <c r="C14" i="10"/>
  <c r="E14" i="10"/>
  <c r="C15" i="10"/>
  <c r="E15" i="10"/>
  <c r="C16" i="10"/>
  <c r="E16" i="10"/>
  <c r="C17" i="10"/>
  <c r="E17" i="10"/>
  <c r="C18" i="10"/>
  <c r="E18" i="10"/>
  <c r="C19" i="10"/>
  <c r="E19" i="10"/>
  <c r="C20" i="10"/>
  <c r="E20" i="10"/>
  <c r="C21" i="10"/>
  <c r="E21" i="10"/>
  <c r="C22" i="10"/>
  <c r="E22" i="10"/>
  <c r="B12" i="10"/>
  <c r="J2" i="10"/>
  <c r="C4" i="10"/>
  <c r="E4" i="10"/>
  <c r="C5" i="10"/>
  <c r="E5" i="10"/>
  <c r="C6" i="10"/>
  <c r="E6" i="10"/>
  <c r="C7" i="10"/>
  <c r="E7" i="10"/>
  <c r="C8" i="10"/>
  <c r="E8" i="10"/>
  <c r="C9" i="10"/>
  <c r="E9" i="10"/>
  <c r="C10" i="10"/>
  <c r="E10" i="10"/>
  <c r="B2" i="10"/>
  <c r="Q28" i="3"/>
  <c r="L14" i="10" s="1"/>
  <c r="E25" i="4"/>
  <c r="F5" i="4"/>
  <c r="N29" i="4"/>
  <c r="L9" i="10" s="1"/>
  <c r="N28" i="4"/>
  <c r="L8" i="10" s="1"/>
  <c r="N27" i="4"/>
  <c r="N26" i="4"/>
  <c r="N24" i="4"/>
  <c r="Q24" i="4" s="1"/>
  <c r="O4" i="10" s="1"/>
  <c r="N25" i="4"/>
  <c r="L5" i="10" s="1"/>
  <c r="P24" i="4"/>
  <c r="N4" i="10" s="1"/>
  <c r="G29" i="2"/>
  <c r="G17" i="2"/>
  <c r="Q35" i="2"/>
  <c r="D21" i="10" s="1"/>
  <c r="Q34" i="2"/>
  <c r="D20" i="10" s="1"/>
  <c r="Q33" i="2"/>
  <c r="D19" i="10" s="1"/>
  <c r="Q32" i="2"/>
  <c r="D18" i="10" s="1"/>
  <c r="Q31" i="2"/>
  <c r="D17" i="10" s="1"/>
  <c r="Q30" i="2"/>
  <c r="D16" i="10" s="1"/>
  <c r="Q29" i="2"/>
  <c r="D15" i="10" s="1"/>
  <c r="G5" i="2"/>
  <c r="E25" i="1"/>
  <c r="O29" i="1"/>
  <c r="D9" i="10" s="1"/>
  <c r="O28" i="1"/>
  <c r="D8" i="10" s="1"/>
  <c r="O27" i="1"/>
  <c r="D7" i="10" s="1"/>
  <c r="O26" i="1"/>
  <c r="D6" i="10" s="1"/>
  <c r="O25" i="1"/>
  <c r="D5" i="10" s="1"/>
  <c r="R40" i="2" l="1"/>
  <c r="N35" i="4"/>
  <c r="D17" i="4"/>
  <c r="K17" i="4" s="1"/>
  <c r="D7" i="4"/>
  <c r="K7" i="4" s="1"/>
  <c r="E29" i="2"/>
  <c r="J29" i="2" s="1"/>
  <c r="D27" i="4"/>
  <c r="G27" i="4" s="1"/>
  <c r="D38" i="4"/>
  <c r="E6" i="2"/>
  <c r="M6" i="2" s="1"/>
  <c r="E10" i="2"/>
  <c r="M10" i="2" s="1"/>
  <c r="E11" i="2"/>
  <c r="M11" i="2" s="1"/>
  <c r="H27" i="10"/>
  <c r="E9" i="2"/>
  <c r="M9" i="2" s="1"/>
  <c r="E32" i="2"/>
  <c r="E33" i="2"/>
  <c r="E30" i="2"/>
  <c r="E31" i="2"/>
  <c r="E41" i="2"/>
  <c r="E5" i="2"/>
  <c r="F5" i="2" s="1"/>
  <c r="I5" i="2" s="1"/>
  <c r="D39" i="4"/>
  <c r="E7" i="2"/>
  <c r="M7" i="2" s="1"/>
  <c r="E17" i="2"/>
  <c r="D28" i="4"/>
  <c r="G28" i="4" s="1"/>
  <c r="D17" i="1"/>
  <c r="D18" i="1"/>
  <c r="D5" i="4"/>
  <c r="K5" i="4" s="1"/>
  <c r="D6" i="4"/>
  <c r="K6" i="4" s="1"/>
  <c r="D16" i="4"/>
  <c r="K16" i="4" s="1"/>
  <c r="D8" i="4"/>
  <c r="K8" i="4" s="1"/>
  <c r="D25" i="4"/>
  <c r="H25" i="4" s="1"/>
  <c r="D9" i="4"/>
  <c r="K9" i="4" s="1"/>
  <c r="D26" i="4"/>
  <c r="G26" i="4" s="1"/>
  <c r="E40" i="2"/>
  <c r="E19" i="2"/>
  <c r="M19" i="2" s="1"/>
  <c r="E43" i="2"/>
  <c r="E20" i="2"/>
  <c r="M20" i="2" s="1"/>
  <c r="E22" i="2"/>
  <c r="M22" i="2" s="1"/>
  <c r="D35" i="4"/>
  <c r="D36" i="4"/>
  <c r="D15" i="4"/>
  <c r="K15" i="4" s="1"/>
  <c r="D37" i="4"/>
  <c r="D18" i="4"/>
  <c r="K18" i="4" s="1"/>
  <c r="O19" i="7"/>
  <c r="E18" i="2"/>
  <c r="M18" i="2" s="1"/>
  <c r="E21" i="2"/>
  <c r="M21" i="2" s="1"/>
  <c r="E42" i="2"/>
  <c r="E23" i="2"/>
  <c r="M23" i="2" s="1"/>
  <c r="D19" i="1"/>
  <c r="D15" i="1"/>
  <c r="D39" i="1"/>
  <c r="D25" i="1"/>
  <c r="G25" i="1" s="1"/>
  <c r="D7" i="1"/>
  <c r="D8" i="1"/>
  <c r="D29" i="1"/>
  <c r="D28" i="1"/>
  <c r="D9" i="1"/>
  <c r="D35" i="1"/>
  <c r="D27" i="1"/>
  <c r="D36" i="1"/>
  <c r="D6" i="1"/>
  <c r="D37" i="1"/>
  <c r="D26" i="1"/>
  <c r="D16" i="1"/>
  <c r="H28" i="10"/>
  <c r="H30" i="10"/>
  <c r="H29" i="10"/>
  <c r="G31" i="10"/>
  <c r="H26" i="10"/>
  <c r="F31" i="10"/>
  <c r="D31" i="10"/>
  <c r="L7" i="10"/>
  <c r="L6" i="10"/>
  <c r="L4" i="10"/>
  <c r="K19" i="4"/>
  <c r="G29" i="4"/>
  <c r="R24" i="4"/>
  <c r="P4" i="10" s="1"/>
  <c r="N30" i="4"/>
  <c r="L10" i="10" s="1"/>
  <c r="M8" i="2"/>
  <c r="G5" i="1"/>
  <c r="H5" i="1" s="1"/>
  <c r="N5" i="1" s="1"/>
  <c r="F17" i="2" l="1"/>
  <c r="I17" i="2" s="1"/>
  <c r="E34" i="2"/>
  <c r="M5" i="2"/>
  <c r="M12" i="2" s="1"/>
  <c r="D40" i="4"/>
  <c r="F25" i="4"/>
  <c r="D30" i="4"/>
  <c r="M17" i="2"/>
  <c r="M24" i="2" s="1"/>
  <c r="G25" i="4"/>
  <c r="I25" i="4" s="1"/>
  <c r="K40" i="13" s="1"/>
  <c r="L40" i="13" s="1"/>
  <c r="E44" i="2"/>
  <c r="F15" i="1"/>
  <c r="G15" i="1" s="1"/>
  <c r="H15" i="1" s="1"/>
  <c r="J15" i="1" s="1"/>
  <c r="K15" i="1" s="1"/>
  <c r="F25" i="1"/>
  <c r="K20" i="4"/>
  <c r="K10" i="4"/>
  <c r="J5" i="1"/>
  <c r="I5" i="1"/>
  <c r="L5" i="1" s="1"/>
  <c r="P5" i="1" s="1"/>
  <c r="L9" i="8" l="1"/>
  <c r="J25" i="4"/>
  <c r="G30" i="4"/>
  <c r="N15" i="1"/>
  <c r="I15" i="1"/>
  <c r="L15" i="1" s="1"/>
  <c r="P15" i="1" s="1"/>
  <c r="O15" i="1" l="1"/>
  <c r="M15" i="1"/>
  <c r="R4" i="13" l="1"/>
  <c r="S4" i="13" s="1"/>
  <c r="E43" i="3"/>
  <c r="E42" i="3"/>
  <c r="E41" i="3"/>
  <c r="E40" i="3"/>
  <c r="E39" i="3"/>
  <c r="J39" i="3" s="1"/>
  <c r="G43" i="3"/>
  <c r="G42" i="3"/>
  <c r="G41" i="3"/>
  <c r="G40" i="3"/>
  <c r="G39" i="3"/>
  <c r="G29" i="3"/>
  <c r="E33" i="3"/>
  <c r="E32" i="3"/>
  <c r="E31" i="3"/>
  <c r="E30" i="3"/>
  <c r="E29" i="3"/>
  <c r="S35" i="3"/>
  <c r="N21" i="10" s="1"/>
  <c r="S34" i="3"/>
  <c r="N20" i="10" s="1"/>
  <c r="S33" i="3"/>
  <c r="N19" i="10" s="1"/>
  <c r="S32" i="3"/>
  <c r="N18" i="10" s="1"/>
  <c r="S31" i="3"/>
  <c r="N17" i="10" s="1"/>
  <c r="S30" i="3"/>
  <c r="N16" i="10" s="1"/>
  <c r="S29" i="3"/>
  <c r="N15" i="10" s="1"/>
  <c r="S28" i="3"/>
  <c r="N14" i="10" s="1"/>
  <c r="T28" i="3"/>
  <c r="O14" i="10" s="1"/>
  <c r="F5" i="3"/>
  <c r="E23" i="3"/>
  <c r="E22" i="3"/>
  <c r="E21" i="3"/>
  <c r="E20" i="3"/>
  <c r="E19" i="3"/>
  <c r="E18" i="3"/>
  <c r="E17" i="3"/>
  <c r="F17" i="3" s="1"/>
  <c r="E11" i="3"/>
  <c r="E10" i="3"/>
  <c r="E9" i="3"/>
  <c r="E8" i="3"/>
  <c r="E7" i="3"/>
  <c r="E6" i="3"/>
  <c r="G5" i="3"/>
  <c r="G17" i="3"/>
  <c r="Q29" i="3"/>
  <c r="L15" i="10" s="1"/>
  <c r="Q35" i="3"/>
  <c r="Q34" i="3"/>
  <c r="Q33" i="3"/>
  <c r="Q32" i="3"/>
  <c r="Q31" i="3"/>
  <c r="L17" i="10" s="1"/>
  <c r="Q30" i="3"/>
  <c r="L16" i="10" s="1"/>
  <c r="G23" i="3"/>
  <c r="G22" i="3"/>
  <c r="G21" i="3"/>
  <c r="G20" i="3"/>
  <c r="G19" i="3"/>
  <c r="G18" i="3"/>
  <c r="P19" i="7"/>
  <c r="M32" i="7"/>
  <c r="M31" i="7"/>
  <c r="Q29" i="4"/>
  <c r="O9" i="10" s="1"/>
  <c r="Q28" i="4"/>
  <c r="O8" i="10" s="1"/>
  <c r="Q27" i="4"/>
  <c r="O7" i="10" s="1"/>
  <c r="Q26" i="4"/>
  <c r="O6" i="10" s="1"/>
  <c r="Q25" i="4"/>
  <c r="O5" i="10" s="1"/>
  <c r="T28" i="2"/>
  <c r="G14" i="10" s="1"/>
  <c r="T35" i="2"/>
  <c r="G21" i="10" s="1"/>
  <c r="T34" i="2"/>
  <c r="G20" i="10" s="1"/>
  <c r="T33" i="2"/>
  <c r="G19" i="10" s="1"/>
  <c r="T32" i="2"/>
  <c r="G18" i="10" s="1"/>
  <c r="T31" i="2"/>
  <c r="G17" i="10" s="1"/>
  <c r="T30" i="2"/>
  <c r="G16" i="10" s="1"/>
  <c r="T29" i="2"/>
  <c r="G15" i="10" s="1"/>
  <c r="S29" i="2"/>
  <c r="F15" i="10" s="1"/>
  <c r="S28" i="2"/>
  <c r="F14" i="10" s="1"/>
  <c r="R29" i="1"/>
  <c r="G9" i="10" s="1"/>
  <c r="R28" i="1"/>
  <c r="G8" i="10" s="1"/>
  <c r="R27" i="1"/>
  <c r="G7" i="10" s="1"/>
  <c r="R26" i="1"/>
  <c r="G6" i="10" s="1"/>
  <c r="R25" i="1"/>
  <c r="G5" i="10" s="1"/>
  <c r="R24" i="1"/>
  <c r="G4" i="10" s="1"/>
  <c r="E29" i="4"/>
  <c r="I29" i="4" s="1"/>
  <c r="K44" i="13" s="1"/>
  <c r="L44" i="13" s="1"/>
  <c r="P6" i="7"/>
  <c r="O6" i="7"/>
  <c r="E39" i="4"/>
  <c r="E38" i="4"/>
  <c r="E37" i="4"/>
  <c r="E36" i="4"/>
  <c r="E35" i="4"/>
  <c r="F15" i="4"/>
  <c r="F19" i="4"/>
  <c r="F18" i="4"/>
  <c r="F17" i="4"/>
  <c r="F16" i="4"/>
  <c r="G44" i="3" l="1"/>
  <c r="E44" i="3"/>
  <c r="E34" i="3"/>
  <c r="E40" i="4"/>
  <c r="F40" i="4" s="1"/>
  <c r="F20" i="4"/>
  <c r="G24" i="3"/>
  <c r="I5" i="3"/>
  <c r="I17" i="3"/>
  <c r="T32" i="3"/>
  <c r="O18" i="10" s="1"/>
  <c r="L18" i="10"/>
  <c r="T34" i="3"/>
  <c r="O20" i="10" s="1"/>
  <c r="L20" i="10"/>
  <c r="T33" i="3"/>
  <c r="O19" i="10" s="1"/>
  <c r="L19" i="10"/>
  <c r="T35" i="3"/>
  <c r="O21" i="10" s="1"/>
  <c r="L21" i="10"/>
  <c r="T29" i="3"/>
  <c r="O15" i="10" s="1"/>
  <c r="F30" i="3"/>
  <c r="H17" i="3"/>
  <c r="H21" i="3"/>
  <c r="H22" i="3"/>
  <c r="H23" i="3"/>
  <c r="F42" i="3"/>
  <c r="H42" i="3" s="1"/>
  <c r="I42" i="3" s="1"/>
  <c r="M42" i="3" s="1"/>
  <c r="F40" i="3"/>
  <c r="H40" i="3" s="1"/>
  <c r="I40" i="3" s="1"/>
  <c r="M40" i="3" s="1"/>
  <c r="F41" i="3"/>
  <c r="H41" i="3" s="1"/>
  <c r="I41" i="3" s="1"/>
  <c r="J41" i="3" s="1"/>
  <c r="H5" i="3"/>
  <c r="F32" i="3"/>
  <c r="F31" i="3"/>
  <c r="F33" i="3"/>
  <c r="H18" i="3"/>
  <c r="H19" i="3"/>
  <c r="H20" i="3"/>
  <c r="F29" i="3"/>
  <c r="F39" i="3"/>
  <c r="F43" i="3"/>
  <c r="H43" i="3" s="1"/>
  <c r="I43" i="3" s="1"/>
  <c r="M43" i="3" s="1"/>
  <c r="K39" i="3"/>
  <c r="K42" i="3"/>
  <c r="K40" i="3"/>
  <c r="K43" i="3"/>
  <c r="M5" i="3"/>
  <c r="M18" i="3"/>
  <c r="M17" i="3"/>
  <c r="M19" i="3"/>
  <c r="K41" i="3"/>
  <c r="T31" i="3"/>
  <c r="K29" i="3"/>
  <c r="T30" i="3"/>
  <c r="U28" i="3"/>
  <c r="P14" i="10" s="1"/>
  <c r="M22" i="3"/>
  <c r="M23" i="3"/>
  <c r="M21" i="3"/>
  <c r="M20" i="3"/>
  <c r="Q36" i="3"/>
  <c r="L22" i="10" s="1"/>
  <c r="S36" i="3"/>
  <c r="N22" i="10" s="1"/>
  <c r="C38" i="10" s="1"/>
  <c r="H8" i="3"/>
  <c r="H9" i="3"/>
  <c r="H11" i="3"/>
  <c r="H6" i="3"/>
  <c r="H10" i="3"/>
  <c r="H7" i="3"/>
  <c r="T36" i="2"/>
  <c r="G22" i="10" s="1"/>
  <c r="D36" i="10" s="1"/>
  <c r="G37" i="4"/>
  <c r="H37" i="4"/>
  <c r="E15" i="4"/>
  <c r="E5" i="4"/>
  <c r="E16" i="4"/>
  <c r="G16" i="4" s="1"/>
  <c r="H16" i="4" s="1"/>
  <c r="I16" i="4" s="1"/>
  <c r="H39" i="4"/>
  <c r="F37" i="4"/>
  <c r="E19" i="4"/>
  <c r="G19" i="4" s="1"/>
  <c r="H19" i="4" s="1"/>
  <c r="I19" i="4" s="1"/>
  <c r="E18" i="4"/>
  <c r="G18" i="4" s="1"/>
  <c r="H18" i="4" s="1"/>
  <c r="I18" i="4" s="1"/>
  <c r="E17" i="4"/>
  <c r="G17" i="4" s="1"/>
  <c r="H17" i="4" s="1"/>
  <c r="I17" i="4" s="1"/>
  <c r="I9" i="8" l="1"/>
  <c r="L40" i="3"/>
  <c r="X29" i="13" s="1"/>
  <c r="Y29" i="13" s="1"/>
  <c r="U33" i="3"/>
  <c r="P19" i="10" s="1"/>
  <c r="U34" i="3"/>
  <c r="P20" i="10" s="1"/>
  <c r="H39" i="3"/>
  <c r="L39" i="3" s="1"/>
  <c r="X28" i="13" s="1"/>
  <c r="Y28" i="13" s="1"/>
  <c r="F44" i="3"/>
  <c r="G5" i="4"/>
  <c r="H5" i="4" s="1"/>
  <c r="I5" i="4" s="1"/>
  <c r="G15" i="4"/>
  <c r="G20" i="4" s="1"/>
  <c r="E20" i="4"/>
  <c r="J5" i="3"/>
  <c r="K5" i="3" s="1"/>
  <c r="L5" i="3" s="1"/>
  <c r="H12" i="3"/>
  <c r="H29" i="3"/>
  <c r="F34" i="3"/>
  <c r="H24" i="3"/>
  <c r="U29" i="3"/>
  <c r="P15" i="10" s="1"/>
  <c r="U30" i="3"/>
  <c r="P16" i="10" s="1"/>
  <c r="O16" i="10"/>
  <c r="U32" i="3"/>
  <c r="P18" i="10" s="1"/>
  <c r="U35" i="3"/>
  <c r="P21" i="10" s="1"/>
  <c r="U31" i="3"/>
  <c r="P17" i="10" s="1"/>
  <c r="O17" i="10"/>
  <c r="K44" i="3"/>
  <c r="M24" i="3"/>
  <c r="L41" i="3"/>
  <c r="X30" i="13" s="1"/>
  <c r="Y30" i="13" s="1"/>
  <c r="J17" i="3"/>
  <c r="L42" i="3"/>
  <c r="X31" i="13" s="1"/>
  <c r="Y31" i="13" s="1"/>
  <c r="M29" i="3"/>
  <c r="J16" i="4"/>
  <c r="M16" i="4"/>
  <c r="J19" i="4"/>
  <c r="M19" i="4"/>
  <c r="M17" i="4"/>
  <c r="J17" i="4"/>
  <c r="J18" i="4"/>
  <c r="M18" i="4"/>
  <c r="L43" i="3"/>
  <c r="X32" i="13" s="1"/>
  <c r="Y32" i="13" s="1"/>
  <c r="T36" i="3"/>
  <c r="O22" i="10" s="1"/>
  <c r="D38" i="10" s="1"/>
  <c r="J42" i="3"/>
  <c r="M41" i="3"/>
  <c r="J43" i="3"/>
  <c r="J40" i="3"/>
  <c r="F19" i="3"/>
  <c r="F22" i="3"/>
  <c r="F21" i="3"/>
  <c r="I21" i="3" s="1"/>
  <c r="J21" i="3" s="1"/>
  <c r="F23" i="3"/>
  <c r="F20" i="3"/>
  <c r="F18" i="3"/>
  <c r="I37" i="4"/>
  <c r="X42" i="13" s="1"/>
  <c r="Y42" i="13" s="1"/>
  <c r="G38" i="4"/>
  <c r="H38" i="4"/>
  <c r="G35" i="4"/>
  <c r="H35" i="4"/>
  <c r="G36" i="4"/>
  <c r="H36" i="4"/>
  <c r="F36" i="4"/>
  <c r="J37" i="4"/>
  <c r="L19" i="4"/>
  <c r="R44" i="13" s="1"/>
  <c r="S44" i="13" s="1"/>
  <c r="F35" i="4"/>
  <c r="F38" i="4"/>
  <c r="F39" i="4"/>
  <c r="G39" i="4"/>
  <c r="L18" i="4"/>
  <c r="R43" i="13" s="1"/>
  <c r="S43" i="13" s="1"/>
  <c r="N5" i="3" l="1"/>
  <c r="E28" i="13" s="1"/>
  <c r="F28" i="13" s="1"/>
  <c r="H15" i="4"/>
  <c r="H20" i="4" s="1"/>
  <c r="I5" i="8"/>
  <c r="F24" i="3"/>
  <c r="I29" i="3"/>
  <c r="L29" i="3"/>
  <c r="K28" i="13" s="1"/>
  <c r="L28" i="13" s="1"/>
  <c r="I39" i="3"/>
  <c r="H44" i="3"/>
  <c r="L5" i="4"/>
  <c r="E40" i="13" s="1"/>
  <c r="F40" i="13" s="1"/>
  <c r="U36" i="3"/>
  <c r="P22" i="10" s="1"/>
  <c r="E38" i="10" s="1"/>
  <c r="K17" i="3"/>
  <c r="L17" i="3" s="1"/>
  <c r="H40" i="4"/>
  <c r="G40" i="4"/>
  <c r="L8" i="8" s="1"/>
  <c r="L10" i="8" s="1"/>
  <c r="L44" i="3"/>
  <c r="J44" i="3"/>
  <c r="O17" i="3"/>
  <c r="N17" i="3"/>
  <c r="R28" i="13" s="1"/>
  <c r="S28" i="13" s="1"/>
  <c r="J5" i="4"/>
  <c r="M5" i="4"/>
  <c r="O5" i="3"/>
  <c r="I22" i="3"/>
  <c r="J22" i="3" s="1"/>
  <c r="I19" i="3"/>
  <c r="J19" i="3" s="1"/>
  <c r="K21" i="3"/>
  <c r="L21" i="3" s="1"/>
  <c r="N21" i="3"/>
  <c r="R32" i="13" s="1"/>
  <c r="S32" i="13" s="1"/>
  <c r="I20" i="3"/>
  <c r="I18" i="3"/>
  <c r="I23" i="3"/>
  <c r="J23" i="3" s="1"/>
  <c r="I36" i="4"/>
  <c r="X41" i="13" s="1"/>
  <c r="Y41" i="13" s="1"/>
  <c r="J36" i="4"/>
  <c r="I35" i="4"/>
  <c r="X40" i="13" s="1"/>
  <c r="Y40" i="13" s="1"/>
  <c r="J35" i="4"/>
  <c r="J38" i="4"/>
  <c r="I38" i="4"/>
  <c r="X43" i="13" s="1"/>
  <c r="Y43" i="13" s="1"/>
  <c r="J39" i="4"/>
  <c r="I39" i="4"/>
  <c r="X44" i="13" s="1"/>
  <c r="Y44" i="13" s="1"/>
  <c r="L15" i="4" l="1"/>
  <c r="R40" i="13" s="1"/>
  <c r="S40" i="13" s="1"/>
  <c r="I15" i="4"/>
  <c r="M39" i="3"/>
  <c r="I44" i="3"/>
  <c r="J29" i="3"/>
  <c r="I40" i="4"/>
  <c r="J18" i="3"/>
  <c r="N18" i="3" s="1"/>
  <c r="R29" i="13" s="1"/>
  <c r="S29" i="13" s="1"/>
  <c r="I24" i="3"/>
  <c r="O21" i="3"/>
  <c r="N22" i="3"/>
  <c r="R33" i="13" s="1"/>
  <c r="S33" i="13" s="1"/>
  <c r="K22" i="3"/>
  <c r="L22" i="3" s="1"/>
  <c r="K19" i="3"/>
  <c r="L19" i="3" s="1"/>
  <c r="N19" i="3"/>
  <c r="R30" i="13" s="1"/>
  <c r="S30" i="13" s="1"/>
  <c r="K23" i="3"/>
  <c r="L23" i="3" s="1"/>
  <c r="N23" i="3"/>
  <c r="R34" i="13" s="1"/>
  <c r="S34" i="13" s="1"/>
  <c r="J20" i="3"/>
  <c r="M15" i="4" l="1"/>
  <c r="J15" i="4"/>
  <c r="K18" i="3"/>
  <c r="L18" i="3" s="1"/>
  <c r="J24" i="3"/>
  <c r="O18" i="3"/>
  <c r="O23" i="3"/>
  <c r="O19" i="3"/>
  <c r="O22" i="3"/>
  <c r="K20" i="3"/>
  <c r="L20" i="3" s="1"/>
  <c r="N20" i="3"/>
  <c r="R31" i="13" s="1"/>
  <c r="S31" i="13" s="1"/>
  <c r="P29" i="4"/>
  <c r="N9" i="10" s="1"/>
  <c r="P28" i="4"/>
  <c r="N8" i="10" s="1"/>
  <c r="P27" i="4"/>
  <c r="N7" i="10" s="1"/>
  <c r="P26" i="4"/>
  <c r="N6" i="10" s="1"/>
  <c r="P25" i="4"/>
  <c r="N5" i="10" s="1"/>
  <c r="G39" i="2"/>
  <c r="S35" i="2"/>
  <c r="F21" i="10" s="1"/>
  <c r="S34" i="2"/>
  <c r="F20" i="10" s="1"/>
  <c r="S33" i="2"/>
  <c r="F19" i="10" s="1"/>
  <c r="S32" i="2"/>
  <c r="F18" i="10" s="1"/>
  <c r="S31" i="2"/>
  <c r="F17" i="10" s="1"/>
  <c r="S30" i="2"/>
  <c r="F16" i="10" s="1"/>
  <c r="Q29" i="1"/>
  <c r="F9" i="10" s="1"/>
  <c r="Q28" i="1"/>
  <c r="F8" i="10" s="1"/>
  <c r="Q27" i="1"/>
  <c r="F7" i="10" s="1"/>
  <c r="Q26" i="1"/>
  <c r="F6" i="10" s="1"/>
  <c r="Q25" i="1"/>
  <c r="F5" i="10" s="1"/>
  <c r="G6" i="7"/>
  <c r="H6" i="7"/>
  <c r="N24" i="3" l="1"/>
  <c r="H5" i="2"/>
  <c r="J5" i="2" s="1"/>
  <c r="F29" i="2"/>
  <c r="H29" i="2" s="1"/>
  <c r="I29" i="2" s="1"/>
  <c r="H17" i="2"/>
  <c r="J17" i="2" s="1"/>
  <c r="F39" i="2"/>
  <c r="H39" i="2" s="1"/>
  <c r="H31" i="10"/>
  <c r="O20" i="3"/>
  <c r="H6" i="2"/>
  <c r="S36" i="2"/>
  <c r="F22" i="10" s="1"/>
  <c r="C36" i="10" s="1"/>
  <c r="P30" i="4"/>
  <c r="N10" i="10" s="1"/>
  <c r="C37" i="10" s="1"/>
  <c r="U30" i="2"/>
  <c r="H16" i="10" s="1"/>
  <c r="H7" i="2"/>
  <c r="U34" i="2"/>
  <c r="H20" i="10" s="1"/>
  <c r="U33" i="2"/>
  <c r="H19" i="10" s="1"/>
  <c r="U32" i="2"/>
  <c r="H18" i="10" s="1"/>
  <c r="E6" i="4"/>
  <c r="G8" i="3"/>
  <c r="G22" i="2"/>
  <c r="E36" i="1"/>
  <c r="G6" i="3"/>
  <c r="G30" i="3"/>
  <c r="G42" i="2"/>
  <c r="G33" i="2"/>
  <c r="G33" i="3"/>
  <c r="H33" i="3" s="1"/>
  <c r="G10" i="2"/>
  <c r="E35" i="1"/>
  <c r="E27" i="4"/>
  <c r="I27" i="4" s="1"/>
  <c r="K42" i="13" s="1"/>
  <c r="L42" i="13" s="1"/>
  <c r="F6" i="4"/>
  <c r="J40" i="2"/>
  <c r="E7" i="4"/>
  <c r="G7" i="4" s="1"/>
  <c r="H22" i="2"/>
  <c r="F30" i="2"/>
  <c r="H11" i="2"/>
  <c r="F31" i="2"/>
  <c r="H9" i="2"/>
  <c r="H19" i="2"/>
  <c r="H18" i="2"/>
  <c r="H21" i="2"/>
  <c r="H8" i="2"/>
  <c r="F32" i="2"/>
  <c r="H10" i="2"/>
  <c r="E8" i="4"/>
  <c r="G8" i="4" s="1"/>
  <c r="F18" i="1"/>
  <c r="G18" i="1" s="1"/>
  <c r="H18" i="1" s="1"/>
  <c r="G11" i="2"/>
  <c r="G20" i="2"/>
  <c r="F7" i="4"/>
  <c r="F8" i="4"/>
  <c r="G10" i="3"/>
  <c r="G8" i="2"/>
  <c r="E39" i="1"/>
  <c r="G41" i="2"/>
  <c r="F9" i="4"/>
  <c r="G11" i="3"/>
  <c r="G7" i="2"/>
  <c r="E38" i="1"/>
  <c r="G9" i="3"/>
  <c r="G18" i="2"/>
  <c r="G6" i="2"/>
  <c r="E27" i="1"/>
  <c r="G19" i="2"/>
  <c r="Y6" i="10"/>
  <c r="G43" i="2"/>
  <c r="E28" i="1"/>
  <c r="G9" i="2"/>
  <c r="G30" i="2"/>
  <c r="E26" i="4"/>
  <c r="G31" i="2"/>
  <c r="G31" i="3"/>
  <c r="H31" i="3" s="1"/>
  <c r="E26" i="1"/>
  <c r="G32" i="2"/>
  <c r="G32" i="3"/>
  <c r="H32" i="3" s="1"/>
  <c r="G21" i="2"/>
  <c r="G40" i="2"/>
  <c r="G23" i="2"/>
  <c r="E28" i="4"/>
  <c r="I28" i="4" s="1"/>
  <c r="K43" i="13" s="1"/>
  <c r="L43" i="13" s="1"/>
  <c r="G7" i="3"/>
  <c r="E29" i="1"/>
  <c r="E37" i="1"/>
  <c r="F8" i="1"/>
  <c r="G8" i="1" s="1"/>
  <c r="H8" i="1" s="1"/>
  <c r="N8" i="1" s="1"/>
  <c r="J42" i="2"/>
  <c r="H19" i="7"/>
  <c r="F42" i="2"/>
  <c r="F41" i="2"/>
  <c r="F33" i="2"/>
  <c r="H20" i="2"/>
  <c r="H23" i="2"/>
  <c r="F40" i="2"/>
  <c r="F43" i="2"/>
  <c r="U35" i="2"/>
  <c r="H21" i="10" s="1"/>
  <c r="U28" i="2"/>
  <c r="H14" i="10" s="1"/>
  <c r="S27" i="1"/>
  <c r="H7" i="10" s="1"/>
  <c r="J41" i="2"/>
  <c r="G19" i="7"/>
  <c r="N17" i="2" l="1"/>
  <c r="K17" i="2"/>
  <c r="O17" i="2" s="1"/>
  <c r="N5" i="2"/>
  <c r="K5" i="2"/>
  <c r="O5" i="2" s="1"/>
  <c r="G44" i="2"/>
  <c r="E40" i="1"/>
  <c r="H24" i="2"/>
  <c r="G12" i="2"/>
  <c r="F34" i="2"/>
  <c r="G12" i="3"/>
  <c r="I4" i="8" s="1"/>
  <c r="I39" i="2"/>
  <c r="H12" i="2"/>
  <c r="E30" i="1"/>
  <c r="I26" i="4"/>
  <c r="E30" i="4"/>
  <c r="F30" i="4" s="1"/>
  <c r="G34" i="2"/>
  <c r="G24" i="2"/>
  <c r="H30" i="3"/>
  <c r="H34" i="3" s="1"/>
  <c r="G34" i="3"/>
  <c r="F44" i="2"/>
  <c r="F10" i="4"/>
  <c r="G6" i="4"/>
  <c r="H6" i="4" s="1"/>
  <c r="H41" i="2"/>
  <c r="I41" i="2" s="1"/>
  <c r="H40" i="2"/>
  <c r="I40" i="2" s="1"/>
  <c r="H43" i="2"/>
  <c r="I43" i="2" s="1"/>
  <c r="H42" i="2"/>
  <c r="I42" i="2" s="1"/>
  <c r="H33" i="2"/>
  <c r="H31" i="2"/>
  <c r="H30" i="2"/>
  <c r="H32" i="2"/>
  <c r="I18" i="1"/>
  <c r="N18" i="1"/>
  <c r="I8" i="1"/>
  <c r="I32" i="3"/>
  <c r="J32" i="3" s="1"/>
  <c r="K32" i="3"/>
  <c r="K33" i="3"/>
  <c r="K30" i="3"/>
  <c r="K31" i="3"/>
  <c r="M11" i="3"/>
  <c r="M10" i="3"/>
  <c r="M9" i="3"/>
  <c r="M8" i="3"/>
  <c r="M7" i="3"/>
  <c r="M6" i="3"/>
  <c r="F11" i="3"/>
  <c r="I11" i="3" s="1"/>
  <c r="J11" i="3" s="1"/>
  <c r="K11" i="3" s="1"/>
  <c r="O11" i="3" s="1"/>
  <c r="E9" i="4"/>
  <c r="G9" i="4" s="1"/>
  <c r="H9" i="4" s="1"/>
  <c r="I9" i="4" s="1"/>
  <c r="J43" i="2"/>
  <c r="J44" i="2" s="1"/>
  <c r="H29" i="4"/>
  <c r="F29" i="4"/>
  <c r="R28" i="4"/>
  <c r="P8" i="10" s="1"/>
  <c r="H28" i="4"/>
  <c r="R25" i="4"/>
  <c r="P5" i="10" s="1"/>
  <c r="H26" i="4"/>
  <c r="R26" i="4"/>
  <c r="P6" i="10" s="1"/>
  <c r="H27" i="4"/>
  <c r="R27" i="4"/>
  <c r="P7" i="10" s="1"/>
  <c r="U31" i="2"/>
  <c r="H17" i="10" s="1"/>
  <c r="J32" i="2"/>
  <c r="J31" i="2"/>
  <c r="J33" i="2"/>
  <c r="J30" i="2"/>
  <c r="F19" i="2"/>
  <c r="I19" i="2" s="1"/>
  <c r="J19" i="2" s="1"/>
  <c r="F10" i="3"/>
  <c r="F36" i="1"/>
  <c r="F6" i="3"/>
  <c r="U29" i="2"/>
  <c r="H15" i="10" s="1"/>
  <c r="H8" i="4"/>
  <c r="I8" i="4" s="1"/>
  <c r="F35" i="1"/>
  <c r="F21" i="2"/>
  <c r="I21" i="2" s="1"/>
  <c r="J21" i="2" s="1"/>
  <c r="F20" i="2"/>
  <c r="I20" i="2" s="1"/>
  <c r="J20" i="2" s="1"/>
  <c r="I33" i="3"/>
  <c r="J33" i="3" s="1"/>
  <c r="F26" i="1"/>
  <c r="F22" i="2"/>
  <c r="I22" i="2" s="1"/>
  <c r="J22" i="2" s="1"/>
  <c r="F27" i="1"/>
  <c r="F18" i="2"/>
  <c r="F37" i="1"/>
  <c r="F16" i="1"/>
  <c r="G16" i="1" s="1"/>
  <c r="H16" i="1" s="1"/>
  <c r="N16" i="1" s="1"/>
  <c r="E20" i="1"/>
  <c r="F27" i="4"/>
  <c r="F28" i="4"/>
  <c r="F28" i="1"/>
  <c r="F26" i="4"/>
  <c r="F38" i="1"/>
  <c r="F29" i="1"/>
  <c r="H7" i="4"/>
  <c r="I7" i="4" s="1"/>
  <c r="F17" i="1"/>
  <c r="G17" i="1" s="1"/>
  <c r="H17" i="1" s="1"/>
  <c r="F7" i="1"/>
  <c r="G7" i="1" s="1"/>
  <c r="H7" i="1" s="1"/>
  <c r="N7" i="1" s="1"/>
  <c r="F7" i="3"/>
  <c r="D30" i="1"/>
  <c r="F8" i="3"/>
  <c r="F6" i="1"/>
  <c r="G6" i="1" s="1"/>
  <c r="H6" i="1" s="1"/>
  <c r="F9" i="3"/>
  <c r="F19" i="1"/>
  <c r="I31" i="3"/>
  <c r="J31" i="3" s="1"/>
  <c r="S26" i="1"/>
  <c r="H6" i="10" s="1"/>
  <c r="F6" i="2"/>
  <c r="S29" i="1"/>
  <c r="H9" i="10" s="1"/>
  <c r="F39" i="1"/>
  <c r="D40" i="1"/>
  <c r="F7" i="2"/>
  <c r="I7" i="2" s="1"/>
  <c r="J7" i="2" s="1"/>
  <c r="K7" i="2" s="1"/>
  <c r="F11" i="2"/>
  <c r="F9" i="2"/>
  <c r="I9" i="2" s="1"/>
  <c r="J9" i="2" s="1"/>
  <c r="K9" i="2" s="1"/>
  <c r="F10" i="2"/>
  <c r="I10" i="2" s="1"/>
  <c r="J10" i="2" s="1"/>
  <c r="K10" i="2" s="1"/>
  <c r="F8" i="2"/>
  <c r="I8" i="2" s="1"/>
  <c r="J8" i="2" s="1"/>
  <c r="J8" i="1"/>
  <c r="F23" i="2"/>
  <c r="I23" i="2" s="1"/>
  <c r="J23" i="2" s="1"/>
  <c r="J18" i="1"/>
  <c r="O24" i="1" l="1"/>
  <c r="N33" i="1"/>
  <c r="R16" i="13"/>
  <c r="S16" i="13" s="1"/>
  <c r="E16" i="13"/>
  <c r="F16" i="13" s="1"/>
  <c r="J6" i="1"/>
  <c r="K6" i="1" s="1"/>
  <c r="N6" i="1"/>
  <c r="I30" i="4"/>
  <c r="K41" i="13"/>
  <c r="L41" i="13" s="1"/>
  <c r="L17" i="2"/>
  <c r="J34" i="2"/>
  <c r="H44" i="2"/>
  <c r="I44" i="2" s="1"/>
  <c r="L4" i="8"/>
  <c r="F12" i="2"/>
  <c r="I30" i="3"/>
  <c r="I18" i="2"/>
  <c r="J18" i="2" s="1"/>
  <c r="J24" i="2" s="1"/>
  <c r="F24" i="2"/>
  <c r="F12" i="3"/>
  <c r="P44" i="3" s="1"/>
  <c r="E10" i="4"/>
  <c r="F5" i="8"/>
  <c r="H19" i="8" s="1"/>
  <c r="L19" i="8" s="1"/>
  <c r="H30" i="4"/>
  <c r="I30" i="2"/>
  <c r="H34" i="2"/>
  <c r="I34" i="2" s="1"/>
  <c r="Q39" i="2" s="1"/>
  <c r="F4" i="8"/>
  <c r="M12" i="3"/>
  <c r="D4" i="10"/>
  <c r="I6" i="4"/>
  <c r="M6" i="4" s="1"/>
  <c r="H10" i="4"/>
  <c r="G10" i="4"/>
  <c r="L6" i="8" s="1"/>
  <c r="K34" i="3"/>
  <c r="M8" i="4"/>
  <c r="J8" i="4"/>
  <c r="M9" i="4"/>
  <c r="J9" i="4"/>
  <c r="M7" i="4"/>
  <c r="J7" i="4"/>
  <c r="K23" i="2"/>
  <c r="O23" i="2" s="1"/>
  <c r="N23" i="2"/>
  <c r="K22" i="2"/>
  <c r="O22" i="2" s="1"/>
  <c r="N22" i="2"/>
  <c r="K20" i="2"/>
  <c r="O20" i="2" s="1"/>
  <c r="N20" i="2"/>
  <c r="K21" i="2"/>
  <c r="O21" i="2" s="1"/>
  <c r="N21" i="2"/>
  <c r="K19" i="2"/>
  <c r="O19" i="2" s="1"/>
  <c r="N19" i="2"/>
  <c r="L10" i="2"/>
  <c r="O10" i="2"/>
  <c r="L9" i="2"/>
  <c r="O9" i="2"/>
  <c r="L7" i="2"/>
  <c r="O7" i="2"/>
  <c r="K36" i="1"/>
  <c r="K35" i="1"/>
  <c r="K25" i="1"/>
  <c r="K39" i="1"/>
  <c r="K38" i="1"/>
  <c r="K37" i="1"/>
  <c r="K26" i="1"/>
  <c r="K28" i="1"/>
  <c r="K29" i="1"/>
  <c r="K27" i="1"/>
  <c r="I29" i="1"/>
  <c r="J29" i="1" s="1"/>
  <c r="I27" i="1"/>
  <c r="J27" i="1" s="1"/>
  <c r="I26" i="1"/>
  <c r="J26" i="1" s="1"/>
  <c r="I25" i="1"/>
  <c r="I28" i="1"/>
  <c r="J28" i="1" s="1"/>
  <c r="I17" i="1"/>
  <c r="N17" i="1"/>
  <c r="I6" i="1"/>
  <c r="I7" i="1"/>
  <c r="M33" i="3"/>
  <c r="M32" i="3"/>
  <c r="M31" i="3"/>
  <c r="M30" i="3"/>
  <c r="L11" i="3"/>
  <c r="N11" i="3"/>
  <c r="E34" i="13" s="1"/>
  <c r="F34" i="13" s="1"/>
  <c r="L9" i="4"/>
  <c r="E44" i="13" s="1"/>
  <c r="F44" i="13" s="1"/>
  <c r="G19" i="1"/>
  <c r="H19" i="1" s="1"/>
  <c r="I19" i="1" s="1"/>
  <c r="I31" i="2"/>
  <c r="I32" i="2"/>
  <c r="I33" i="2"/>
  <c r="K8" i="2"/>
  <c r="O8" i="2" s="1"/>
  <c r="N8" i="2"/>
  <c r="I10" i="3"/>
  <c r="J10" i="3" s="1"/>
  <c r="I8" i="3"/>
  <c r="J8" i="3" s="1"/>
  <c r="I9" i="3"/>
  <c r="J9" i="3" s="1"/>
  <c r="I7" i="3"/>
  <c r="J7" i="3" s="1"/>
  <c r="I6" i="3"/>
  <c r="J28" i="4"/>
  <c r="U36" i="2"/>
  <c r="H22" i="10" s="1"/>
  <c r="E36" i="10" s="1"/>
  <c r="J29" i="4"/>
  <c r="J26" i="4"/>
  <c r="J27" i="4"/>
  <c r="R29" i="4"/>
  <c r="F9" i="1"/>
  <c r="I11" i="2"/>
  <c r="I6" i="2"/>
  <c r="L8" i="4"/>
  <c r="E43" i="13" s="1"/>
  <c r="F43" i="13" s="1"/>
  <c r="L30" i="3"/>
  <c r="K29" i="13" s="1"/>
  <c r="L29" i="13" s="1"/>
  <c r="L6" i="4"/>
  <c r="E41" i="13" s="1"/>
  <c r="F41" i="13" s="1"/>
  <c r="F30" i="1"/>
  <c r="L33" i="3"/>
  <c r="K32" i="13" s="1"/>
  <c r="L32" i="13" s="1"/>
  <c r="I16" i="1"/>
  <c r="J16" i="1"/>
  <c r="F40" i="1"/>
  <c r="G40" i="1" s="1"/>
  <c r="L32" i="3"/>
  <c r="K31" i="13" s="1"/>
  <c r="L31" i="13" s="1"/>
  <c r="L7" i="4"/>
  <c r="E42" i="13" s="1"/>
  <c r="F42" i="13" s="1"/>
  <c r="L31" i="3"/>
  <c r="K30" i="13" s="1"/>
  <c r="L30" i="13" s="1"/>
  <c r="J17" i="1"/>
  <c r="J7" i="1"/>
  <c r="E10" i="1"/>
  <c r="N35" i="1" s="1"/>
  <c r="N10" i="2"/>
  <c r="S25" i="1"/>
  <c r="H5" i="10" s="1"/>
  <c r="S28" i="1"/>
  <c r="H8" i="10" s="1"/>
  <c r="R30" i="1"/>
  <c r="N9" i="2"/>
  <c r="N7" i="2"/>
  <c r="R39" i="2" l="1"/>
  <c r="R41" i="2" s="1"/>
  <c r="Q41" i="2"/>
  <c r="O33" i="1"/>
  <c r="P33" i="1" s="1"/>
  <c r="N34" i="1"/>
  <c r="O34" i="1" s="1"/>
  <c r="O35" i="1" s="1"/>
  <c r="N36" i="1"/>
  <c r="J6" i="4"/>
  <c r="L7" i="8"/>
  <c r="L12" i="8" s="1"/>
  <c r="L13" i="8" s="1"/>
  <c r="R18" i="13"/>
  <c r="S18" i="13" s="1"/>
  <c r="R20" i="13"/>
  <c r="S20" i="13" s="1"/>
  <c r="R19" i="13"/>
  <c r="S19" i="13" s="1"/>
  <c r="R21" i="13"/>
  <c r="S21" i="13" s="1"/>
  <c r="R22" i="13"/>
  <c r="S22" i="13" s="1"/>
  <c r="E19" i="13"/>
  <c r="F19" i="13" s="1"/>
  <c r="E18" i="13"/>
  <c r="F18" i="13" s="1"/>
  <c r="E20" i="13"/>
  <c r="F20" i="13" s="1"/>
  <c r="E21" i="13"/>
  <c r="F21" i="13" s="1"/>
  <c r="K6" i="13"/>
  <c r="L6" i="13" s="1"/>
  <c r="K8" i="13"/>
  <c r="L8" i="13" s="1"/>
  <c r="K7" i="13"/>
  <c r="L7" i="13" s="1"/>
  <c r="K5" i="13"/>
  <c r="L5" i="13" s="1"/>
  <c r="I8" i="8"/>
  <c r="I10" i="8" s="1"/>
  <c r="I20" i="1"/>
  <c r="I24" i="2"/>
  <c r="L10" i="4"/>
  <c r="E45" i="13" s="1"/>
  <c r="F45" i="13" s="1"/>
  <c r="J30" i="3"/>
  <c r="J34" i="3" s="1"/>
  <c r="I34" i="3"/>
  <c r="Q41" i="3" s="1"/>
  <c r="R30" i="4"/>
  <c r="P10" i="10" s="1"/>
  <c r="E37" i="10" s="1"/>
  <c r="P9" i="10"/>
  <c r="J6" i="3"/>
  <c r="J12" i="3" s="1"/>
  <c r="I12" i="3"/>
  <c r="I6" i="8" s="1"/>
  <c r="I7" i="8" s="1"/>
  <c r="N18" i="2"/>
  <c r="K18" i="2"/>
  <c r="O18" i="2" s="1"/>
  <c r="G10" i="10"/>
  <c r="D35" i="10" s="1"/>
  <c r="L34" i="3"/>
  <c r="J6" i="2"/>
  <c r="K6" i="2" s="1"/>
  <c r="O6" i="2" s="1"/>
  <c r="I12" i="2"/>
  <c r="J25" i="1"/>
  <c r="I30" i="1"/>
  <c r="L23" i="2"/>
  <c r="L21" i="2"/>
  <c r="L22" i="2"/>
  <c r="Q28" i="2"/>
  <c r="D14" i="10" s="1"/>
  <c r="L20" i="2"/>
  <c r="L19" i="2"/>
  <c r="N19" i="1"/>
  <c r="N20" i="1" s="1"/>
  <c r="J19" i="1"/>
  <c r="J20" i="1" s="1"/>
  <c r="K7" i="3"/>
  <c r="O7" i="3" s="1"/>
  <c r="N7" i="3"/>
  <c r="E30" i="13" s="1"/>
  <c r="F30" i="13" s="1"/>
  <c r="K10" i="3"/>
  <c r="O10" i="3" s="1"/>
  <c r="N10" i="3"/>
  <c r="E33" i="13" s="1"/>
  <c r="F33" i="13" s="1"/>
  <c r="K9" i="3"/>
  <c r="O9" i="3" s="1"/>
  <c r="N9" i="3"/>
  <c r="E32" i="13" s="1"/>
  <c r="F32" i="13" s="1"/>
  <c r="K8" i="3"/>
  <c r="O8" i="3" s="1"/>
  <c r="N8" i="3"/>
  <c r="E31" i="13" s="1"/>
  <c r="F31" i="13" s="1"/>
  <c r="L8" i="2"/>
  <c r="G9" i="1"/>
  <c r="H9" i="1" s="1"/>
  <c r="Q30" i="4"/>
  <c r="O10" i="10" s="1"/>
  <c r="D37" i="10" s="1"/>
  <c r="J11" i="2"/>
  <c r="N11" i="2" s="1"/>
  <c r="R41" i="3" l="1"/>
  <c r="R43" i="3" s="1"/>
  <c r="Q43" i="3"/>
  <c r="P34" i="1"/>
  <c r="P35" i="1" s="1"/>
  <c r="F6" i="8"/>
  <c r="F7" i="8" s="1"/>
  <c r="D39" i="10"/>
  <c r="R17" i="13"/>
  <c r="S17" i="13" s="1"/>
  <c r="E22" i="13"/>
  <c r="F22" i="13" s="1"/>
  <c r="C9" i="8"/>
  <c r="N9" i="1"/>
  <c r="N10" i="1" s="1"/>
  <c r="K4" i="13"/>
  <c r="L4" i="13" s="1"/>
  <c r="J30" i="1"/>
  <c r="L18" i="2"/>
  <c r="N24" i="2"/>
  <c r="I12" i="8"/>
  <c r="I13" i="8" s="1"/>
  <c r="K6" i="3"/>
  <c r="O6" i="3" s="1"/>
  <c r="N6" i="3"/>
  <c r="K32" i="2"/>
  <c r="M32" i="2" s="1"/>
  <c r="F9" i="8"/>
  <c r="N6" i="2"/>
  <c r="J12" i="2"/>
  <c r="K29" i="2"/>
  <c r="K41" i="2"/>
  <c r="M41" i="2" s="1"/>
  <c r="K31" i="2"/>
  <c r="M31" i="2" s="1"/>
  <c r="K33" i="2"/>
  <c r="M33" i="2" s="1"/>
  <c r="Q36" i="2"/>
  <c r="D22" i="10" s="1"/>
  <c r="K39" i="2"/>
  <c r="K42" i="2"/>
  <c r="M42" i="2" s="1"/>
  <c r="K40" i="2"/>
  <c r="M40" i="2" s="1"/>
  <c r="K43" i="2"/>
  <c r="M43" i="2" s="1"/>
  <c r="K30" i="2"/>
  <c r="M30" i="2" s="1"/>
  <c r="I9" i="1"/>
  <c r="I10" i="1" s="1"/>
  <c r="C4" i="8" s="1"/>
  <c r="H18" i="8" s="1"/>
  <c r="L18" i="8" s="1"/>
  <c r="L8" i="3"/>
  <c r="L9" i="3"/>
  <c r="L10" i="3"/>
  <c r="L7" i="3"/>
  <c r="L6" i="3"/>
  <c r="L6" i="2"/>
  <c r="J9" i="1"/>
  <c r="L5" i="2"/>
  <c r="K11" i="2"/>
  <c r="O11" i="2" s="1"/>
  <c r="E17" i="13" l="1"/>
  <c r="F17" i="13" s="1"/>
  <c r="H23" i="8"/>
  <c r="L23" i="8" s="1"/>
  <c r="N12" i="3"/>
  <c r="E29" i="13"/>
  <c r="F29" i="13" s="1"/>
  <c r="L32" i="2"/>
  <c r="L41" i="2"/>
  <c r="M29" i="2"/>
  <c r="K34" i="2"/>
  <c r="L33" i="2"/>
  <c r="N12" i="2"/>
  <c r="L39" i="2"/>
  <c r="K44" i="2"/>
  <c r="L31" i="2"/>
  <c r="L43" i="2"/>
  <c r="M39" i="2"/>
  <c r="L40" i="2"/>
  <c r="L42" i="2"/>
  <c r="L30" i="2"/>
  <c r="L29" i="2"/>
  <c r="J10" i="1"/>
  <c r="L11" i="2"/>
  <c r="X16" i="13" l="1"/>
  <c r="Y16" i="13" s="1"/>
  <c r="X19" i="13"/>
  <c r="Y19" i="13" s="1"/>
  <c r="X17" i="13"/>
  <c r="Y17" i="13" s="1"/>
  <c r="X20" i="13"/>
  <c r="Y20" i="13" s="1"/>
  <c r="X18" i="13"/>
  <c r="Y18" i="13" s="1"/>
  <c r="K16" i="13"/>
  <c r="L16" i="13" s="1"/>
  <c r="K17" i="13"/>
  <c r="L17" i="13" s="1"/>
  <c r="K18" i="13"/>
  <c r="L18" i="13" s="1"/>
  <c r="K20" i="13"/>
  <c r="L20" i="13" s="1"/>
  <c r="K19" i="13"/>
  <c r="L19" i="13" s="1"/>
  <c r="L44" i="2"/>
  <c r="L34" i="2"/>
  <c r="F8" i="8"/>
  <c r="F10" i="8" s="1"/>
  <c r="F12" i="8" s="1"/>
  <c r="F13" i="8" s="1"/>
  <c r="L16" i="4"/>
  <c r="R41" i="13" s="1"/>
  <c r="S41" i="13" s="1"/>
  <c r="L17" i="4"/>
  <c r="R42" i="13" s="1"/>
  <c r="S42" i="13" s="1"/>
  <c r="L20" i="4" l="1"/>
  <c r="R45" i="13" s="1"/>
  <c r="S45" i="13" s="1"/>
  <c r="K5" i="1" l="1"/>
  <c r="I39" i="1"/>
  <c r="Q24" i="1"/>
  <c r="K8" i="1"/>
  <c r="L8" i="1" s="1"/>
  <c r="L6" i="1"/>
  <c r="K16" i="1"/>
  <c r="L16" i="1" s="1"/>
  <c r="K18" i="1"/>
  <c r="L18" i="1" s="1"/>
  <c r="K9" i="1"/>
  <c r="L9" i="1" s="1"/>
  <c r="I37" i="1"/>
  <c r="K17" i="1"/>
  <c r="L17" i="1" s="1"/>
  <c r="I38" i="1"/>
  <c r="O30" i="1"/>
  <c r="D10" i="10" s="1"/>
  <c r="I35" i="1"/>
  <c r="K19" i="1"/>
  <c r="L19" i="1" s="1"/>
  <c r="K7" i="1"/>
  <c r="G36" i="1"/>
  <c r="G29" i="1"/>
  <c r="G26" i="1"/>
  <c r="G28" i="1"/>
  <c r="G37" i="1"/>
  <c r="G39" i="1"/>
  <c r="G35" i="1"/>
  <c r="G38" i="1"/>
  <c r="G27" i="1"/>
  <c r="I36" i="1"/>
  <c r="S24" i="1" l="1"/>
  <c r="H4" i="10" s="1"/>
  <c r="F4" i="10"/>
  <c r="I40" i="1"/>
  <c r="C8" i="8" s="1"/>
  <c r="O5" i="1"/>
  <c r="P16" i="1"/>
  <c r="O16" i="1"/>
  <c r="O19" i="1"/>
  <c r="P19" i="1"/>
  <c r="O6" i="1"/>
  <c r="P6" i="1"/>
  <c r="M17" i="1"/>
  <c r="P17" i="1"/>
  <c r="O17" i="1"/>
  <c r="M18" i="1"/>
  <c r="P18" i="1"/>
  <c r="O18" i="1"/>
  <c r="O9" i="1"/>
  <c r="P9" i="1"/>
  <c r="O8" i="1"/>
  <c r="P8" i="1"/>
  <c r="M19" i="1"/>
  <c r="M16" i="1"/>
  <c r="G30" i="1"/>
  <c r="M9" i="1"/>
  <c r="M8" i="1"/>
  <c r="M6" i="1"/>
  <c r="M5" i="1"/>
  <c r="J38" i="1"/>
  <c r="J35" i="1"/>
  <c r="K10" i="1"/>
  <c r="J39" i="1"/>
  <c r="X8" i="13" s="1"/>
  <c r="J37" i="1"/>
  <c r="J36" i="1"/>
  <c r="L7" i="1"/>
  <c r="L20" i="1"/>
  <c r="K20" i="1"/>
  <c r="Q30" i="1"/>
  <c r="C6" i="8" l="1"/>
  <c r="H20" i="8" s="1"/>
  <c r="R5" i="13"/>
  <c r="S5" i="13" s="1"/>
  <c r="R7" i="13"/>
  <c r="S7" i="13" s="1"/>
  <c r="R6" i="13"/>
  <c r="S6" i="13" s="1"/>
  <c r="R8" i="13"/>
  <c r="S8" i="13" s="1"/>
  <c r="E5" i="13"/>
  <c r="F5" i="13" s="1"/>
  <c r="X6" i="13"/>
  <c r="Y6" i="13" s="1"/>
  <c r="X7" i="13"/>
  <c r="Y7" i="13" s="1"/>
  <c r="Y8" i="13"/>
  <c r="X5" i="13"/>
  <c r="Y5" i="13" s="1"/>
  <c r="E7" i="13"/>
  <c r="F7" i="13" s="1"/>
  <c r="X4" i="13"/>
  <c r="Y4" i="13" s="1"/>
  <c r="E8" i="13"/>
  <c r="F8" i="13" s="1"/>
  <c r="E4" i="13"/>
  <c r="F4" i="13" s="1"/>
  <c r="S30" i="1"/>
  <c r="H10" i="10" s="1"/>
  <c r="E35" i="10" s="1"/>
  <c r="E39" i="10" s="1"/>
  <c r="F10" i="10"/>
  <c r="C35" i="10" s="1"/>
  <c r="C39" i="10" s="1"/>
  <c r="C10" i="8"/>
  <c r="H22" i="8"/>
  <c r="O7" i="1"/>
  <c r="E6" i="13" s="1"/>
  <c r="P7" i="1"/>
  <c r="O20" i="1"/>
  <c r="L10" i="1"/>
  <c r="M7" i="1"/>
  <c r="J40" i="1"/>
  <c r="C7" i="8" l="1"/>
  <c r="C12" i="8" s="1"/>
  <c r="C13" i="8" s="1"/>
  <c r="O10" i="1"/>
  <c r="F6" i="13"/>
  <c r="L20" i="8"/>
  <c r="L21" i="8" s="1"/>
  <c r="H21" i="8"/>
  <c r="L22" i="8"/>
  <c r="H24" i="8"/>
  <c r="F36" i="10" l="1"/>
  <c r="F38" i="10"/>
  <c r="F37" i="10"/>
  <c r="F35" i="10"/>
  <c r="H26" i="8"/>
  <c r="H27" i="8" s="1"/>
  <c r="L24" i="8"/>
  <c r="L26" i="8" s="1"/>
  <c r="L27" i="8" s="1"/>
  <c r="F39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Romão</author>
  </authors>
  <commentList>
    <comment ref="I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Rafael Romão:</t>
        </r>
        <r>
          <rPr>
            <sz val="9"/>
            <color indexed="81"/>
            <rFont val="Segoe UI"/>
            <family val="2"/>
          </rPr>
          <t xml:space="preserve">
0 = Não
1 = Yes 20% - Regular Tycoon
2 = Yes, 26% - Special Tycoon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<sst xmlns="http://schemas.openxmlformats.org/spreadsheetml/2006/main" count="879" uniqueCount="99">
  <si>
    <t>Q1</t>
  </si>
  <si>
    <t>Q2</t>
  </si>
  <si>
    <t>Q3</t>
  </si>
  <si>
    <t>Q4</t>
  </si>
  <si>
    <t>Q5</t>
  </si>
  <si>
    <t>Booster</t>
  </si>
  <si>
    <t>Q6</t>
  </si>
  <si>
    <t>Q7</t>
  </si>
  <si>
    <t>Raw</t>
  </si>
  <si>
    <t>Food</t>
  </si>
  <si>
    <t>Total</t>
  </si>
  <si>
    <t>Tycoon Pack</t>
  </si>
  <si>
    <t>Tickets</t>
  </si>
  <si>
    <t>-</t>
  </si>
  <si>
    <t>Holding 1</t>
  </si>
  <si>
    <t>Holding 2</t>
  </si>
  <si>
    <t>Holding  1</t>
  </si>
  <si>
    <t>Average Salary</t>
  </si>
  <si>
    <t>Number of Tickets</t>
  </si>
  <si>
    <t>Management Companies</t>
  </si>
  <si>
    <t>Company</t>
  </si>
  <si>
    <t>Country 1</t>
  </si>
  <si>
    <t>Country 2</t>
  </si>
  <si>
    <t>Country of Citizenship</t>
  </si>
  <si>
    <t>Pollution</t>
  </si>
  <si>
    <t>Raw Material</t>
  </si>
  <si>
    <t>Productivity/Test</t>
  </si>
  <si>
    <t>Country Bonus</t>
  </si>
  <si>
    <t>Region Bonus</t>
  </si>
  <si>
    <t>Houses</t>
  </si>
  <si>
    <t>Airplanes</t>
  </si>
  <si>
    <t>Weapons</t>
  </si>
  <si>
    <t>TAX - VAT</t>
  </si>
  <si>
    <t>TAX - Import</t>
  </si>
  <si>
    <t>Tax</t>
  </si>
  <si>
    <t>Manager Tax</t>
  </si>
  <si>
    <t>Quality</t>
  </si>
  <si>
    <t>Employees</t>
  </si>
  <si>
    <t>Production</t>
  </si>
  <si>
    <t>Raw/Day</t>
  </si>
  <si>
    <t>Time (Days)</t>
  </si>
  <si>
    <t>Number of Houses (Day)</t>
  </si>
  <si>
    <t>Houses by Time</t>
  </si>
  <si>
    <t>Raw Material per House</t>
  </si>
  <si>
    <t>Raw Material Cost</t>
  </si>
  <si>
    <t>Unit Cost - Without Taxes</t>
  </si>
  <si>
    <t>Unit Cost - With Taxes</t>
  </si>
  <si>
    <t>Revenue</t>
  </si>
  <si>
    <t>Profit/Loss</t>
  </si>
  <si>
    <t>% Profit/Loss - Per House</t>
  </si>
  <si>
    <t>Total Salaries</t>
  </si>
  <si>
    <t>Unit Cost - Raw Material</t>
  </si>
  <si>
    <t>Export Tax</t>
  </si>
  <si>
    <t>% Profit/Loss</t>
  </si>
  <si>
    <t>Stock - Houses</t>
  </si>
  <si>
    <t>Price</t>
  </si>
  <si>
    <t>Amount</t>
  </si>
  <si>
    <t>Gross Value</t>
  </si>
  <si>
    <t>Total Tax</t>
  </si>
  <si>
    <t>Net Total</t>
  </si>
  <si>
    <t>Cost</t>
  </si>
  <si>
    <t>Average Cost</t>
  </si>
  <si>
    <t>Daily use</t>
  </si>
  <si>
    <t>Purchase</t>
  </si>
  <si>
    <t>Surplus / Shortage</t>
  </si>
  <si>
    <t>Manager</t>
  </si>
  <si>
    <t>Total Cost - Without Taxes</t>
  </si>
  <si>
    <t>% Profit/Loss Per Weapon</t>
  </si>
  <si>
    <t>Stock - Weapons</t>
  </si>
  <si>
    <t>% Profit/Loss Per Airplane</t>
  </si>
  <si>
    <t>Stock - Airplanes</t>
  </si>
  <si>
    <t>% Profit/Loss Per Food</t>
  </si>
  <si>
    <t>Stock - Food</t>
  </si>
  <si>
    <t>Salary</t>
  </si>
  <si>
    <t>Total Cost</t>
  </si>
  <si>
    <t>Gross Revenue</t>
  </si>
  <si>
    <t>Sales Taxes</t>
  </si>
  <si>
    <t>Net Revenue</t>
  </si>
  <si>
    <t>Daily Total</t>
  </si>
  <si>
    <t>Weekly Total</t>
  </si>
  <si>
    <t>Consolidated</t>
  </si>
  <si>
    <t>Branch</t>
  </si>
  <si>
    <t>Percentage</t>
  </si>
  <si>
    <t>Residential Industry</t>
  </si>
  <si>
    <t>Air War Industry</t>
  </si>
  <si>
    <t>Food industry</t>
  </si>
  <si>
    <t>Gold Price</t>
  </si>
  <si>
    <t>CC Price</t>
  </si>
  <si>
    <t>Return (in days)</t>
  </si>
  <si>
    <t>Return (in Years)</t>
  </si>
  <si>
    <t>Manufacture - Holding 1</t>
  </si>
  <si>
    <t>Raw Material - Holding 1</t>
  </si>
  <si>
    <t>Manufacture - Holding 2</t>
  </si>
  <si>
    <t>Raw Material - Holding 2</t>
  </si>
  <si>
    <t>Nominal Rate</t>
  </si>
  <si>
    <t>TAX (VAT)</t>
  </si>
  <si>
    <t>TAX (Import)</t>
  </si>
  <si>
    <t>Effective Rate</t>
  </si>
  <si>
    <t>Ground War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</si>
</sst>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00_-;\-* #,##0.0000_-;_-* &quot;-&quot;??_-;_-@_-"/>
    <numFmt numFmtId="165" formatCode="_-* #,##0.00000_-;\-* #,##0.00000_-;_-* &quot;-&quot;??_-;_-@_-"/>
    <numFmt numFmtId="166" formatCode="_-* #,##0.000000_-;\-* #,##0.000000_-;_-* &quot;-&quot;??_-;_-@_-"/>
    <numFmt numFmtId="167" formatCode="_-* #,##0.0000000_-;\-* #,##0.0000000_-;_-* &quot;-&quot;??_-;_-@_-"/>
    <numFmt numFmtId="168" formatCode="_-* #,##0.000_-;\-* #,##0.000_-;_-* &quot;-&quot;??_-;_-@_-"/>
    <numFmt numFmtId="169" formatCode="_-* #,##0.0000_-;\-* #,##0.0000_-;_-* &quot;-&quot;??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6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7">
    <xf numFmtId="0" fontId="0" fillId="0" borderId="0" xfId="0"/>
    <xf numFmtId="43" fontId="0" fillId="0" borderId="0" xfId="1" applyFont="1"/>
    <xf numFmtId="43" fontId="0" fillId="0" borderId="1" xfId="1" applyFont="1" applyBorder="1"/>
    <xf numFmtId="43" fontId="2" fillId="2" borderId="1" xfId="1" applyFont="1" applyFill="1" applyBorder="1"/>
    <xf numFmtId="164" fontId="0" fillId="0" borderId="1" xfId="1" applyNumberFormat="1" applyFont="1" applyBorder="1"/>
    <xf numFmtId="43" fontId="4" fillId="3" borderId="0" xfId="1" applyFont="1" applyFill="1" applyProtection="1">
      <protection locked="0"/>
    </xf>
    <xf numFmtId="43" fontId="4" fillId="3" borderId="1" xfId="1" applyFont="1" applyFill="1" applyBorder="1" applyProtection="1">
      <protection locked="0"/>
    </xf>
    <xf numFmtId="164" fontId="2" fillId="2" borderId="1" xfId="1" applyNumberFormat="1" applyFont="1" applyFill="1" applyBorder="1"/>
    <xf numFmtId="43" fontId="4" fillId="0" borderId="1" xfId="1" applyFont="1" applyBorder="1"/>
    <xf numFmtId="165" fontId="0" fillId="0" borderId="1" xfId="1" applyNumberFormat="1" applyFont="1" applyBorder="1"/>
    <xf numFmtId="43" fontId="0" fillId="0" borderId="8" xfId="1" applyFont="1" applyBorder="1"/>
    <xf numFmtId="165" fontId="2" fillId="2" borderId="1" xfId="1" applyNumberFormat="1" applyFont="1" applyFill="1" applyBorder="1"/>
    <xf numFmtId="167" fontId="0" fillId="0" borderId="1" xfId="1" applyNumberFormat="1" applyFont="1" applyBorder="1"/>
    <xf numFmtId="167" fontId="0" fillId="0" borderId="6" xfId="1" applyNumberFormat="1" applyFont="1" applyBorder="1"/>
    <xf numFmtId="10" fontId="0" fillId="0" borderId="1" xfId="2" applyNumberFormat="1" applyFont="1" applyBorder="1"/>
    <xf numFmtId="167" fontId="0" fillId="0" borderId="9" xfId="1" applyNumberFormat="1" applyFont="1" applyBorder="1"/>
    <xf numFmtId="168" fontId="0" fillId="0" borderId="1" xfId="1" applyNumberFormat="1" applyFont="1" applyBorder="1"/>
    <xf numFmtId="9" fontId="4" fillId="3" borderId="0" xfId="1" applyNumberFormat="1" applyFont="1" applyFill="1" applyProtection="1">
      <protection locked="0"/>
    </xf>
    <xf numFmtId="0" fontId="0" fillId="0" borderId="0" xfId="0" applyAlignment="1">
      <alignment wrapText="1"/>
    </xf>
    <xf numFmtId="43" fontId="3" fillId="2" borderId="0" xfId="1" applyFont="1" applyFill="1" applyAlignment="1">
      <alignment wrapText="1"/>
    </xf>
    <xf numFmtId="0" fontId="5" fillId="0" borderId="0" xfId="0" applyFont="1"/>
    <xf numFmtId="43" fontId="5" fillId="0" borderId="0" xfId="1" applyFont="1"/>
    <xf numFmtId="0" fontId="3" fillId="6" borderId="19" xfId="0" applyFont="1" applyFill="1" applyBorder="1"/>
    <xf numFmtId="0" fontId="0" fillId="5" borderId="5" xfId="0" applyFill="1" applyBorder="1"/>
    <xf numFmtId="43" fontId="8" fillId="5" borderId="20" xfId="1" applyFont="1" applyFill="1" applyBorder="1"/>
    <xf numFmtId="43" fontId="0" fillId="5" borderId="20" xfId="1" applyFont="1" applyFill="1" applyBorder="1"/>
    <xf numFmtId="43" fontId="3" fillId="6" borderId="13" xfId="1" applyFont="1" applyFill="1" applyBorder="1"/>
    <xf numFmtId="43" fontId="3" fillId="4" borderId="13" xfId="1" applyFont="1" applyFill="1" applyBorder="1"/>
    <xf numFmtId="43" fontId="1" fillId="0" borderId="1" xfId="1" applyBorder="1"/>
    <xf numFmtId="0" fontId="11" fillId="0" borderId="0" xfId="0" applyFont="1"/>
    <xf numFmtId="0" fontId="0" fillId="5" borderId="0" xfId="0" applyFill="1"/>
    <xf numFmtId="0" fontId="3" fillId="6" borderId="12" xfId="0" applyFont="1" applyFill="1" applyBorder="1"/>
    <xf numFmtId="0" fontId="3" fillId="7" borderId="19" xfId="0" applyFont="1" applyFill="1" applyBorder="1"/>
    <xf numFmtId="0" fontId="3" fillId="7" borderId="12" xfId="0" applyFont="1" applyFill="1" applyBorder="1"/>
    <xf numFmtId="0" fontId="3" fillId="8" borderId="19" xfId="0" applyFont="1" applyFill="1" applyBorder="1"/>
    <xf numFmtId="0" fontId="3" fillId="8" borderId="12" xfId="0" applyFont="1" applyFill="1" applyBorder="1"/>
    <xf numFmtId="43" fontId="3" fillId="8" borderId="13" xfId="1" applyFont="1" applyFill="1" applyBorder="1"/>
    <xf numFmtId="43" fontId="0" fillId="0" borderId="0" xfId="0" applyNumberFormat="1"/>
    <xf numFmtId="10" fontId="3" fillId="4" borderId="10" xfId="2" applyNumberFormat="1" applyFont="1" applyFill="1" applyBorder="1"/>
    <xf numFmtId="4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4" fillId="9" borderId="0" xfId="1" applyFont="1" applyFill="1" applyBorder="1" applyAlignment="1" applyProtection="1">
      <alignment horizontal="center" vertical="center"/>
      <protection locked="0"/>
    </xf>
    <xf numFmtId="43" fontId="10" fillId="2" borderId="2" xfId="1" applyFont="1" applyFill="1" applyBorder="1" applyAlignment="1">
      <alignment horizontal="center" vertical="center"/>
    </xf>
    <xf numFmtId="43" fontId="10" fillId="2" borderId="7" xfId="1" applyFont="1" applyFill="1" applyBorder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0" fontId="9" fillId="3" borderId="20" xfId="0" applyFont="1" applyFill="1" applyBorder="1" applyAlignment="1" applyProtection="1">
      <alignment horizontal="center" vertical="center"/>
      <protection locked="0"/>
    </xf>
    <xf numFmtId="43" fontId="4" fillId="3" borderId="21" xfId="1" applyFont="1" applyFill="1" applyBorder="1" applyAlignment="1" applyProtection="1">
      <alignment horizontal="center" vertical="center"/>
      <protection locked="0"/>
    </xf>
    <xf numFmtId="43" fontId="6" fillId="3" borderId="0" xfId="1" applyFont="1" applyFill="1" applyBorder="1" applyAlignment="1" applyProtection="1">
      <alignment horizontal="center" vertical="center"/>
      <protection locked="0"/>
    </xf>
    <xf numFmtId="43" fontId="4" fillId="3" borderId="0" xfId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43" fontId="4" fillId="3" borderId="22" xfId="1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  <protection locked="0"/>
    </xf>
    <xf numFmtId="43" fontId="9" fillId="3" borderId="0" xfId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43" fontId="9" fillId="3" borderId="21" xfId="1" applyFont="1" applyFill="1" applyBorder="1" applyAlignment="1" applyProtection="1">
      <alignment horizontal="center" vertical="center"/>
      <protection locked="0"/>
    </xf>
    <xf numFmtId="43" fontId="2" fillId="2" borderId="19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43" fontId="2" fillId="2" borderId="8" xfId="1" applyFont="1" applyFill="1" applyBorder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0" fillId="0" borderId="11" xfId="1" applyFont="1" applyBorder="1" applyAlignment="1">
      <alignment horizontal="center" vertical="center"/>
    </xf>
    <xf numFmtId="43" fontId="4" fillId="3" borderId="11" xfId="1" applyFont="1" applyFill="1" applyBorder="1" applyAlignment="1" applyProtection="1">
      <alignment horizontal="center" vertical="center"/>
      <protection locked="0"/>
    </xf>
    <xf numFmtId="43" fontId="8" fillId="0" borderId="11" xfId="1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9" fillId="3" borderId="1" xfId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 applyProtection="1">
      <alignment horizontal="center" vertical="center"/>
      <protection locked="0"/>
    </xf>
    <xf numFmtId="164" fontId="5" fillId="0" borderId="1" xfId="1" applyNumberFormat="1" applyFont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43" fontId="8" fillId="0" borderId="11" xfId="1" applyNumberFormat="1" applyFont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43" fontId="8" fillId="0" borderId="0" xfId="0" applyNumberFormat="1" applyFont="1" applyBorder="1" applyAlignment="1">
      <alignment horizontal="center" vertical="center"/>
    </xf>
    <xf numFmtId="43" fontId="8" fillId="0" borderId="0" xfId="1" applyFont="1" applyBorder="1" applyAlignment="1">
      <alignment horizontal="center" vertical="center"/>
    </xf>
    <xf numFmtId="43" fontId="8" fillId="0" borderId="20" xfId="1" applyFont="1" applyBorder="1" applyAlignment="1">
      <alignment horizontal="center" vertical="center"/>
    </xf>
    <xf numFmtId="43" fontId="8" fillId="0" borderId="23" xfId="1" applyFont="1" applyBorder="1" applyAlignment="1">
      <alignment horizontal="center" vertical="center"/>
    </xf>
    <xf numFmtId="43" fontId="8" fillId="0" borderId="17" xfId="1" applyFont="1" applyBorder="1" applyAlignment="1">
      <alignment horizontal="center" vertical="center"/>
    </xf>
    <xf numFmtId="43" fontId="0" fillId="0" borderId="17" xfId="1" applyFont="1" applyBorder="1" applyAlignment="1">
      <alignment horizontal="center" vertical="center"/>
    </xf>
    <xf numFmtId="43" fontId="10" fillId="2" borderId="8" xfId="1" applyFont="1" applyFill="1" applyBorder="1" applyAlignment="1">
      <alignment horizontal="center" vertical="center"/>
    </xf>
    <xf numFmtId="43" fontId="8" fillId="0" borderId="8" xfId="1" applyFont="1" applyBorder="1" applyAlignment="1">
      <alignment horizontal="center" vertical="center"/>
    </xf>
    <xf numFmtId="43" fontId="3" fillId="2" borderId="21" xfId="0" applyNumberFormat="1" applyFont="1" applyFill="1" applyBorder="1" applyAlignment="1">
      <alignment horizontal="center" vertical="center"/>
    </xf>
    <xf numFmtId="43" fontId="3" fillId="2" borderId="22" xfId="1" applyFont="1" applyFill="1" applyBorder="1" applyAlignment="1">
      <alignment horizontal="center" vertical="center"/>
    </xf>
    <xf numFmtId="43" fontId="10" fillId="2" borderId="13" xfId="1" applyFont="1" applyFill="1" applyBorder="1" applyAlignment="1">
      <alignment horizontal="center" vertical="center"/>
    </xf>
    <xf numFmtId="43" fontId="10" fillId="2" borderId="14" xfId="1" applyFont="1" applyFill="1" applyBorder="1" applyAlignment="1">
      <alignment horizontal="center" vertical="center"/>
    </xf>
    <xf numFmtId="43" fontId="10" fillId="2" borderId="15" xfId="1" applyFont="1" applyFill="1" applyBorder="1" applyAlignment="1">
      <alignment horizontal="center" vertical="center"/>
    </xf>
    <xf numFmtId="43" fontId="4" fillId="3" borderId="0" xfId="1" applyFont="1" applyFill="1" applyAlignment="1" applyProtection="1">
      <alignment horizontal="center" vertical="center"/>
      <protection locked="0"/>
    </xf>
    <xf numFmtId="1" fontId="4" fillId="3" borderId="0" xfId="1" applyNumberFormat="1" applyFont="1" applyFill="1" applyAlignment="1" applyProtection="1">
      <alignment horizontal="center" vertical="center"/>
      <protection locked="0"/>
    </xf>
    <xf numFmtId="1" fontId="0" fillId="0" borderId="0" xfId="0" applyNumberFormat="1" applyAlignment="1">
      <alignment horizontal="center" vertical="center"/>
    </xf>
    <xf numFmtId="43" fontId="8" fillId="0" borderId="5" xfId="1" applyFont="1" applyBorder="1" applyAlignment="1">
      <alignment horizontal="center" vertical="center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43" fontId="9" fillId="3" borderId="20" xfId="1" applyFont="1" applyFill="1" applyBorder="1" applyAlignment="1" applyProtection="1">
      <alignment horizontal="center" vertical="center"/>
      <protection locked="0"/>
    </xf>
    <xf numFmtId="43" fontId="3" fillId="2" borderId="0" xfId="1" applyFont="1" applyFill="1" applyAlignment="1">
      <alignment horizontal="center" vertical="center"/>
    </xf>
    <xf numFmtId="43" fontId="4" fillId="3" borderId="20" xfId="1" applyFont="1" applyFill="1" applyBorder="1" applyAlignment="1" applyProtection="1">
      <alignment horizontal="center" vertical="center"/>
      <protection locked="0"/>
    </xf>
    <xf numFmtId="43" fontId="0" fillId="0" borderId="7" xfId="1" applyFont="1" applyBorder="1" applyAlignment="1">
      <alignment horizontal="center" vertical="center"/>
    </xf>
    <xf numFmtId="43" fontId="2" fillId="2" borderId="20" xfId="1" applyFont="1" applyFill="1" applyBorder="1" applyAlignment="1">
      <alignment horizontal="center" vertical="center"/>
    </xf>
    <xf numFmtId="43" fontId="2" fillId="2" borderId="7" xfId="1" applyFont="1" applyFill="1" applyBorder="1" applyAlignment="1">
      <alignment horizontal="center" vertical="center"/>
    </xf>
    <xf numFmtId="43" fontId="2" fillId="2" borderId="19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6" fillId="3" borderId="1" xfId="1" applyFont="1" applyFill="1" applyBorder="1" applyAlignment="1" applyProtection="1">
      <alignment horizontal="center" vertical="center"/>
      <protection locked="0"/>
    </xf>
    <xf numFmtId="10" fontId="5" fillId="0" borderId="1" xfId="2" applyNumberFormat="1" applyFont="1" applyBorder="1" applyAlignment="1">
      <alignment horizontal="center" vertical="center"/>
    </xf>
    <xf numFmtId="43" fontId="0" fillId="9" borderId="0" xfId="1" applyFont="1" applyFill="1" applyAlignment="1" applyProtection="1">
      <alignment horizontal="center" vertical="center"/>
      <protection locked="0"/>
    </xf>
    <xf numFmtId="43" fontId="7" fillId="2" borderId="1" xfId="1" applyFont="1" applyFill="1" applyBorder="1" applyAlignment="1">
      <alignment horizontal="center" vertical="center"/>
    </xf>
    <xf numFmtId="169" fontId="5" fillId="0" borderId="0" xfId="0" applyNumberFormat="1" applyFont="1" applyAlignment="1">
      <alignment horizontal="center" vertical="center"/>
    </xf>
    <xf numFmtId="167" fontId="5" fillId="0" borderId="1" xfId="1" applyNumberFormat="1" applyFont="1" applyBorder="1" applyAlignment="1">
      <alignment horizontal="center" vertical="center"/>
    </xf>
    <xf numFmtId="43" fontId="5" fillId="0" borderId="0" xfId="1" applyFont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3" fontId="7" fillId="2" borderId="1" xfId="1" applyFont="1" applyFill="1" applyBorder="1" applyAlignment="1">
      <alignment horizontal="center" vertical="center"/>
    </xf>
    <xf numFmtId="43" fontId="3" fillId="2" borderId="0" xfId="0" applyNumberFormat="1" applyFont="1" applyFill="1" applyAlignment="1">
      <alignment horizontal="center" vertical="center"/>
    </xf>
    <xf numFmtId="43" fontId="0" fillId="0" borderId="1" xfId="1" applyNumberFormat="1" applyFont="1" applyBorder="1"/>
    <xf numFmtId="10" fontId="1" fillId="0" borderId="1" xfId="2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166" fontId="2" fillId="2" borderId="1" xfId="1" applyNumberFormat="1" applyFont="1" applyFill="1" applyBorder="1"/>
    <xf numFmtId="43" fontId="2" fillId="2" borderId="25" xfId="1" applyFont="1" applyFill="1" applyBorder="1" applyAlignment="1"/>
    <xf numFmtId="43" fontId="5" fillId="0" borderId="1" xfId="1" applyFont="1" applyBorder="1"/>
    <xf numFmtId="43" fontId="0" fillId="0" borderId="26" xfId="1" applyFont="1" applyBorder="1"/>
    <xf numFmtId="167" fontId="0" fillId="0" borderId="27" xfId="1" applyNumberFormat="1" applyFont="1" applyBorder="1"/>
    <xf numFmtId="43" fontId="2" fillId="2" borderId="1" xfId="1" applyFont="1" applyFill="1" applyBorder="1" applyAlignment="1">
      <alignment vertical="center"/>
    </xf>
    <xf numFmtId="43" fontId="10" fillId="2" borderId="1" xfId="1" applyFont="1" applyFill="1" applyBorder="1" applyAlignment="1">
      <alignment vertical="center"/>
    </xf>
    <xf numFmtId="43" fontId="7" fillId="2" borderId="25" xfId="1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vertical="center"/>
    </xf>
    <xf numFmtId="43" fontId="2" fillId="2" borderId="1" xfId="1" applyFont="1" applyFill="1" applyBorder="1" applyAlignment="1"/>
    <xf numFmtId="0" fontId="4" fillId="3" borderId="0" xfId="0" applyFont="1" applyFill="1" applyBorder="1" applyAlignment="1" applyProtection="1">
      <alignment horizontal="center" vertical="center"/>
      <protection locked="0"/>
    </xf>
    <xf numFmtId="43" fontId="1" fillId="9" borderId="0" xfId="1" applyFont="1" applyFill="1" applyAlignment="1" applyProtection="1">
      <alignment horizontal="center" vertical="center"/>
      <protection locked="0"/>
    </xf>
    <xf numFmtId="0" fontId="3" fillId="2" borderId="1" xfId="0" applyFont="1" applyFill="1" applyBorder="1"/>
    <xf numFmtId="0" fontId="0" fillId="0" borderId="1" xfId="0" applyBorder="1"/>
    <xf numFmtId="0" fontId="5" fillId="0" borderId="1" xfId="1" applyNumberFormat="1" applyFont="1" applyBorder="1"/>
    <xf numFmtId="43" fontId="3" fillId="2" borderId="1" xfId="1" applyFont="1" applyFill="1" applyBorder="1"/>
    <xf numFmtId="43" fontId="4" fillId="3" borderId="20" xfId="1" applyFont="1" applyFill="1" applyBorder="1" applyProtection="1">
      <protection locked="0"/>
    </xf>
    <xf numFmtId="0" fontId="8" fillId="9" borderId="0" xfId="0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0" fontId="17" fillId="0" borderId="0" xfId="0" applyFont="1"/>
    <xf numFmtId="43" fontId="17" fillId="0" borderId="0" xfId="0" applyNumberFormat="1" applyFont="1"/>
    <xf numFmtId="0" fontId="0" fillId="14" borderId="2" xfId="0" applyFill="1" applyBorder="1"/>
    <xf numFmtId="43" fontId="8" fillId="14" borderId="4" xfId="1" applyFont="1" applyFill="1" applyBorder="1"/>
    <xf numFmtId="0" fontId="0" fillId="14" borderId="5" xfId="0" applyFill="1" applyBorder="1"/>
    <xf numFmtId="43" fontId="0" fillId="14" borderId="20" xfId="1" applyFont="1" applyFill="1" applyBorder="1"/>
    <xf numFmtId="43" fontId="8" fillId="14" borderId="20" xfId="1" applyFont="1" applyFill="1" applyBorder="1"/>
    <xf numFmtId="0" fontId="0" fillId="14" borderId="3" xfId="0" applyFill="1" applyBorder="1"/>
    <xf numFmtId="0" fontId="0" fillId="14" borderId="0" xfId="0" applyFill="1"/>
    <xf numFmtId="0" fontId="0" fillId="14" borderId="21" xfId="0" applyFill="1" applyBorder="1"/>
    <xf numFmtId="43" fontId="0" fillId="14" borderId="22" xfId="1" applyFont="1" applyFill="1" applyBorder="1"/>
    <xf numFmtId="0" fontId="3" fillId="2" borderId="21" xfId="0" applyFont="1" applyFill="1" applyBorder="1" applyAlignment="1">
      <alignment horizontal="center" vertical="center"/>
    </xf>
    <xf numFmtId="43" fontId="10" fillId="2" borderId="21" xfId="1" applyFont="1" applyFill="1" applyBorder="1" applyAlignment="1">
      <alignment horizontal="center" vertical="center" wrapText="1"/>
    </xf>
    <xf numFmtId="43" fontId="10" fillId="2" borderId="22" xfId="1" applyFont="1" applyFill="1" applyBorder="1" applyAlignment="1">
      <alignment horizontal="center" vertical="center" wrapText="1"/>
    </xf>
    <xf numFmtId="43" fontId="2" fillId="2" borderId="24" xfId="1" applyFont="1" applyFill="1" applyBorder="1" applyAlignment="1">
      <alignment horizontal="center" vertical="center"/>
    </xf>
    <xf numFmtId="43" fontId="2" fillId="2" borderId="14" xfId="1" applyFont="1" applyFill="1" applyBorder="1" applyAlignment="1">
      <alignment horizontal="center" vertical="center"/>
    </xf>
    <xf numFmtId="43" fontId="2" fillId="2" borderId="15" xfId="1" applyFont="1" applyFill="1" applyBorder="1" applyAlignment="1">
      <alignment horizontal="center" vertical="center"/>
    </xf>
    <xf numFmtId="43" fontId="3" fillId="2" borderId="0" xfId="1" applyFont="1" applyFill="1" applyBorder="1" applyAlignment="1">
      <alignment horizontal="center" vertical="center"/>
    </xf>
    <xf numFmtId="43" fontId="3" fillId="2" borderId="21" xfId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3" fontId="2" fillId="2" borderId="18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10" fillId="2" borderId="19" xfId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vertical="center"/>
    </xf>
    <xf numFmtId="43" fontId="3" fillId="2" borderId="13" xfId="1" applyFont="1" applyFill="1" applyBorder="1" applyAlignment="1">
      <alignment horizontal="center" vertical="center"/>
    </xf>
    <xf numFmtId="43" fontId="10" fillId="2" borderId="24" xfId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43" fontId="2" fillId="2" borderId="4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10" fillId="10" borderId="7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43" fontId="3" fillId="2" borderId="24" xfId="1" applyFont="1" applyFill="1" applyBorder="1" applyAlignment="1">
      <alignment horizontal="center" vertical="center"/>
    </xf>
    <xf numFmtId="43" fontId="3" fillId="2" borderId="15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43" fontId="2" fillId="2" borderId="21" xfId="1" applyFont="1" applyFill="1" applyBorder="1" applyAlignment="1">
      <alignment vertical="center"/>
    </xf>
    <xf numFmtId="0" fontId="0" fillId="0" borderId="0" xfId="0" applyProtection="1"/>
    <xf numFmtId="0" fontId="17" fillId="0" borderId="0" xfId="0" applyFont="1" applyProtection="1"/>
    <xf numFmtId="43" fontId="10" fillId="2" borderId="19" xfId="1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43" fontId="3" fillId="2" borderId="13" xfId="1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43" fontId="4" fillId="9" borderId="0" xfId="1" applyFont="1" applyFill="1" applyBorder="1" applyAlignment="1" applyProtection="1">
      <alignment horizontal="center" vertical="center"/>
    </xf>
    <xf numFmtId="43" fontId="8" fillId="0" borderId="0" xfId="1" applyFont="1" applyBorder="1" applyAlignment="1" applyProtection="1">
      <alignment horizontal="center" vertical="center"/>
    </xf>
    <xf numFmtId="43" fontId="0" fillId="9" borderId="0" xfId="0" applyNumberFormat="1" applyFill="1" applyBorder="1" applyAlignment="1" applyProtection="1">
      <alignment horizontal="center" vertical="center"/>
    </xf>
    <xf numFmtId="43" fontId="8" fillId="0" borderId="0" xfId="0" applyNumberFormat="1" applyFont="1" applyBorder="1" applyAlignment="1" applyProtection="1">
      <alignment horizontal="center" vertical="center"/>
    </xf>
    <xf numFmtId="43" fontId="8" fillId="0" borderId="20" xfId="1" applyFont="1" applyBorder="1" applyAlignment="1" applyProtection="1">
      <alignment horizontal="center" vertical="center"/>
    </xf>
    <xf numFmtId="43" fontId="0" fillId="0" borderId="0" xfId="0" applyNumberFormat="1" applyProtection="1"/>
    <xf numFmtId="0" fontId="3" fillId="2" borderId="7" xfId="0" applyFont="1" applyFill="1" applyBorder="1" applyAlignment="1" applyProtection="1">
      <alignment horizontal="center" vertical="center"/>
    </xf>
    <xf numFmtId="43" fontId="3" fillId="2" borderId="21" xfId="0" applyNumberFormat="1" applyFont="1" applyFill="1" applyBorder="1" applyAlignment="1" applyProtection="1">
      <alignment horizontal="center" vertical="center"/>
    </xf>
    <xf numFmtId="164" fontId="2" fillId="2" borderId="8" xfId="1" applyNumberFormat="1" applyFont="1" applyFill="1" applyBorder="1" applyProtection="1"/>
    <xf numFmtId="43" fontId="3" fillId="2" borderId="22" xfId="1" applyFont="1" applyFill="1" applyBorder="1" applyAlignment="1" applyProtection="1">
      <alignment horizontal="center" vertical="center"/>
    </xf>
    <xf numFmtId="0" fontId="0" fillId="0" borderId="5" xfId="0" applyBorder="1" applyProtection="1"/>
    <xf numFmtId="43" fontId="8" fillId="0" borderId="0" xfId="1" applyFont="1" applyBorder="1" applyProtection="1"/>
    <xf numFmtId="43" fontId="0" fillId="0" borderId="0" xfId="0" applyNumberFormat="1" applyBorder="1" applyProtection="1"/>
    <xf numFmtId="43" fontId="8" fillId="0" borderId="20" xfId="1" applyFont="1" applyBorder="1" applyProtection="1"/>
    <xf numFmtId="0" fontId="3" fillId="2" borderId="7" xfId="0" applyFont="1" applyFill="1" applyBorder="1" applyProtection="1"/>
    <xf numFmtId="43" fontId="3" fillId="2" borderId="21" xfId="0" applyNumberFormat="1" applyFont="1" applyFill="1" applyBorder="1" applyProtection="1"/>
    <xf numFmtId="0" fontId="3" fillId="2" borderId="21" xfId="0" applyFont="1" applyFill="1" applyBorder="1" applyProtection="1"/>
    <xf numFmtId="43" fontId="3" fillId="2" borderId="22" xfId="0" applyNumberFormat="1" applyFont="1" applyFill="1" applyBorder="1" applyProtection="1"/>
    <xf numFmtId="0" fontId="3" fillId="2" borderId="19" xfId="0" applyFont="1" applyFill="1" applyBorder="1" applyProtection="1"/>
    <xf numFmtId="43" fontId="3" fillId="2" borderId="12" xfId="1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/>
    </xf>
    <xf numFmtId="10" fontId="8" fillId="0" borderId="20" xfId="2" applyNumberFormat="1" applyFont="1" applyBorder="1" applyAlignment="1" applyProtection="1">
      <alignment horizontal="center" vertical="center"/>
    </xf>
    <xf numFmtId="43" fontId="3" fillId="2" borderId="12" xfId="0" applyNumberFormat="1" applyFont="1" applyFill="1" applyBorder="1" applyProtection="1"/>
    <xf numFmtId="10" fontId="3" fillId="13" borderId="13" xfId="2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20" xfId="0" applyFont="1" applyFill="1" applyBorder="1" applyAlignment="1" applyProtection="1">
      <alignment horizontal="center" vertical="center"/>
    </xf>
    <xf numFmtId="164" fontId="4" fillId="0" borderId="0" xfId="1" applyNumberFormat="1" applyFont="1" applyFill="1" applyBorder="1" applyAlignment="1" applyProtection="1">
      <alignment horizontal="center" vertical="center"/>
    </xf>
    <xf numFmtId="164" fontId="4" fillId="0" borderId="21" xfId="1" applyNumberFormat="1" applyFont="1" applyFill="1" applyBorder="1" applyAlignment="1" applyProtection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43" fontId="14" fillId="6" borderId="19" xfId="1" applyFont="1" applyFill="1" applyBorder="1" applyAlignment="1">
      <alignment horizontal="center" vertical="center"/>
    </xf>
    <xf numFmtId="43" fontId="14" fillId="6" borderId="12" xfId="1" applyFont="1" applyFill="1" applyBorder="1" applyAlignment="1">
      <alignment horizontal="center" vertical="center"/>
    </xf>
    <xf numFmtId="43" fontId="14" fillId="6" borderId="13" xfId="1" applyFont="1" applyFill="1" applyBorder="1" applyAlignment="1">
      <alignment horizontal="center" vertical="center"/>
    </xf>
    <xf numFmtId="43" fontId="14" fillId="11" borderId="19" xfId="1" applyFont="1" applyFill="1" applyBorder="1" applyAlignment="1">
      <alignment horizontal="center" vertical="center"/>
    </xf>
    <xf numFmtId="43" fontId="14" fillId="11" borderId="12" xfId="1" applyFont="1" applyFill="1" applyBorder="1" applyAlignment="1">
      <alignment horizontal="center" vertical="center"/>
    </xf>
    <xf numFmtId="43" fontId="14" fillId="11" borderId="13" xfId="1" applyFont="1" applyFill="1" applyBorder="1" applyAlignment="1">
      <alignment horizontal="center" vertical="center"/>
    </xf>
    <xf numFmtId="43" fontId="14" fillId="12" borderId="19" xfId="1" applyFont="1" applyFill="1" applyBorder="1" applyAlignment="1">
      <alignment horizontal="center" vertical="center"/>
    </xf>
    <xf numFmtId="43" fontId="14" fillId="12" borderId="12" xfId="1" applyFont="1" applyFill="1" applyBorder="1" applyAlignment="1">
      <alignment horizontal="center" vertical="center"/>
    </xf>
    <xf numFmtId="43" fontId="14" fillId="12" borderId="13" xfId="1" applyFont="1" applyFill="1" applyBorder="1" applyAlignment="1">
      <alignment horizontal="center" vertical="center"/>
    </xf>
    <xf numFmtId="43" fontId="14" fillId="15" borderId="19" xfId="1" applyFont="1" applyFill="1" applyBorder="1" applyAlignment="1">
      <alignment horizontal="center" vertical="center"/>
    </xf>
    <xf numFmtId="43" fontId="14" fillId="15" borderId="12" xfId="1" applyFont="1" applyFill="1" applyBorder="1" applyAlignment="1">
      <alignment horizontal="center" vertical="center"/>
    </xf>
    <xf numFmtId="43" fontId="14" fillId="15" borderId="13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 wrapText="1"/>
    </xf>
    <xf numFmtId="43" fontId="10" fillId="2" borderId="21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10" fillId="2" borderId="22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/>
    </xf>
    <xf numFmtId="43" fontId="10" fillId="2" borderId="21" xfId="1" applyFont="1" applyFill="1" applyBorder="1" applyAlignment="1">
      <alignment horizontal="center" vertical="center"/>
    </xf>
    <xf numFmtId="43" fontId="2" fillId="2" borderId="0" xfId="1" applyFont="1" applyFill="1" applyAlignment="1">
      <alignment horizontal="center" vertical="center" wrapText="1"/>
    </xf>
    <xf numFmtId="43" fontId="7" fillId="2" borderId="16" xfId="1" applyFont="1" applyFill="1" applyBorder="1" applyAlignment="1">
      <alignment horizontal="center" vertical="center" wrapText="1"/>
    </xf>
    <xf numFmtId="0" fontId="14" fillId="2" borderId="7" xfId="0" applyFont="1" applyFill="1" applyBorder="1" applyAlignment="1" applyProtection="1">
      <alignment horizontal="center" vertical="center"/>
      <protection locked="0"/>
    </xf>
    <xf numFmtId="0" fontId="14" fillId="2" borderId="21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43" fontId="2" fillId="2" borderId="0" xfId="1" applyFont="1" applyFill="1" applyAlignment="1">
      <alignment horizontal="center" vertical="center"/>
    </xf>
    <xf numFmtId="43" fontId="7" fillId="2" borderId="16" xfId="1" applyFont="1" applyFill="1" applyBorder="1" applyAlignment="1">
      <alignment horizontal="center" vertical="center"/>
    </xf>
    <xf numFmtId="43" fontId="7" fillId="2" borderId="0" xfId="1" applyFont="1" applyFill="1" applyAlignment="1">
      <alignment horizontal="center" vertical="center" wrapText="1"/>
    </xf>
    <xf numFmtId="43" fontId="14" fillId="2" borderId="0" xfId="0" applyNumberFormat="1" applyFont="1" applyFill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3" fontId="18" fillId="6" borderId="19" xfId="1" applyFont="1" applyFill="1" applyBorder="1" applyAlignment="1">
      <alignment horizontal="center"/>
    </xf>
    <xf numFmtId="43" fontId="18" fillId="6" borderId="13" xfId="1" applyFont="1" applyFill="1" applyBorder="1" applyAlignment="1">
      <alignment horizontal="center"/>
    </xf>
    <xf numFmtId="43" fontId="18" fillId="11" borderId="19" xfId="1" applyFont="1" applyFill="1" applyBorder="1" applyAlignment="1">
      <alignment horizontal="center"/>
    </xf>
    <xf numFmtId="43" fontId="18" fillId="11" borderId="13" xfId="1" applyFont="1" applyFill="1" applyBorder="1" applyAlignment="1">
      <alignment horizontal="center"/>
    </xf>
    <xf numFmtId="43" fontId="18" fillId="15" borderId="19" xfId="1" applyFont="1" applyFill="1" applyBorder="1" applyAlignment="1">
      <alignment horizontal="center"/>
    </xf>
    <xf numFmtId="43" fontId="18" fillId="15" borderId="13" xfId="1" applyFont="1" applyFill="1" applyBorder="1" applyAlignment="1">
      <alignment horizontal="center"/>
    </xf>
    <xf numFmtId="43" fontId="18" fillId="12" borderId="19" xfId="1" applyFont="1" applyFill="1" applyBorder="1" applyAlignment="1">
      <alignment horizontal="center"/>
    </xf>
    <xf numFmtId="43" fontId="18" fillId="12" borderId="13" xfId="1" applyFont="1" applyFill="1" applyBorder="1" applyAlignment="1">
      <alignment horizontal="center"/>
    </xf>
    <xf numFmtId="43" fontId="18" fillId="2" borderId="5" xfId="1" applyFont="1" applyFill="1" applyBorder="1" applyAlignment="1">
      <alignment horizontal="center"/>
    </xf>
    <xf numFmtId="43" fontId="18" fillId="2" borderId="0" xfId="1" applyFont="1" applyFill="1" applyAlignment="1">
      <alignment horizontal="center"/>
    </xf>
    <xf numFmtId="43" fontId="18" fillId="2" borderId="0" xfId="1" applyFont="1" applyFill="1" applyBorder="1" applyAlignment="1">
      <alignment horizontal="center"/>
    </xf>
    <xf numFmtId="0" fontId="15" fillId="2" borderId="19" xfId="0" applyFont="1" applyFill="1" applyBorder="1" applyAlignment="1" applyProtection="1">
      <alignment horizontal="center"/>
    </xf>
    <xf numFmtId="0" fontId="15" fillId="2" borderId="12" xfId="0" applyFont="1" applyFill="1" applyBorder="1" applyAlignment="1" applyProtection="1">
      <alignment horizontal="center"/>
    </xf>
    <xf numFmtId="0" fontId="15" fillId="2" borderId="13" xfId="0" applyFont="1" applyFill="1" applyBorder="1" applyAlignment="1" applyProtection="1">
      <alignment horizontal="center"/>
    </xf>
    <xf numFmtId="0" fontId="15" fillId="2" borderId="2" xfId="0" applyFont="1" applyFill="1" applyBorder="1" applyAlignment="1" applyProtection="1">
      <alignment horizontal="center"/>
    </xf>
    <xf numFmtId="0" fontId="15" fillId="2" borderId="3" xfId="0" applyFont="1" applyFill="1" applyBorder="1" applyAlignment="1" applyProtection="1">
      <alignment horizontal="center"/>
    </xf>
    <xf numFmtId="0" fontId="15" fillId="2" borderId="4" xfId="0" applyFont="1" applyFill="1" applyBorder="1" applyAlignment="1" applyProtection="1">
      <alignment horizontal="center"/>
    </xf>
    <xf numFmtId="0" fontId="15" fillId="6" borderId="19" xfId="0" applyFont="1" applyFill="1" applyBorder="1" applyAlignment="1" applyProtection="1">
      <alignment horizontal="center" vertical="center"/>
    </xf>
    <xf numFmtId="0" fontId="15" fillId="6" borderId="12" xfId="0" applyFont="1" applyFill="1" applyBorder="1" applyAlignment="1" applyProtection="1">
      <alignment horizontal="center" vertical="center"/>
    </xf>
    <xf numFmtId="0" fontId="15" fillId="6" borderId="13" xfId="0" applyFont="1" applyFill="1" applyBorder="1" applyAlignment="1" applyProtection="1">
      <alignment horizontal="center" vertical="center"/>
    </xf>
    <xf numFmtId="0" fontId="15" fillId="12" borderId="19" xfId="0" applyFont="1" applyFill="1" applyBorder="1" applyAlignment="1" applyProtection="1">
      <alignment horizontal="center" vertical="center"/>
    </xf>
    <xf numFmtId="0" fontId="15" fillId="12" borderId="12" xfId="0" applyFont="1" applyFill="1" applyBorder="1" applyAlignment="1" applyProtection="1">
      <alignment horizontal="center" vertical="center"/>
    </xf>
    <xf numFmtId="0" fontId="15" fillId="12" borderId="13" xfId="0" applyFont="1" applyFill="1" applyBorder="1" applyAlignment="1" applyProtection="1">
      <alignment horizontal="center" vertical="center"/>
    </xf>
    <xf numFmtId="0" fontId="15" fillId="11" borderId="19" xfId="0" applyFont="1" applyFill="1" applyBorder="1" applyAlignment="1" applyProtection="1">
      <alignment horizontal="center" vertical="center"/>
    </xf>
    <xf numFmtId="0" fontId="15" fillId="11" borderId="12" xfId="0" applyFont="1" applyFill="1" applyBorder="1" applyAlignment="1" applyProtection="1">
      <alignment horizontal="center" vertical="center"/>
    </xf>
    <xf numFmtId="0" fontId="15" fillId="11" borderId="13" xfId="0" applyFont="1" applyFill="1" applyBorder="1" applyAlignment="1" applyProtection="1">
      <alignment horizontal="center" vertical="center"/>
    </xf>
    <xf numFmtId="0" fontId="15" fillId="15" borderId="19" xfId="0" applyFont="1" applyFill="1" applyBorder="1" applyAlignment="1" applyProtection="1">
      <alignment horizontal="center" vertical="center"/>
    </xf>
    <xf numFmtId="0" fontId="15" fillId="15" borderId="12" xfId="0" applyFont="1" applyFill="1" applyBorder="1" applyAlignment="1" applyProtection="1">
      <alignment horizontal="center" vertical="center"/>
    </xf>
    <xf numFmtId="0" fontId="15" fillId="15" borderId="13" xfId="0" applyFont="1" applyFill="1" applyBorder="1" applyAlignment="1" applyProtection="1">
      <alignment horizontal="center" vertical="center"/>
    </xf>
    <xf numFmtId="0" fontId="3" fillId="13" borderId="0" xfId="0" applyFont="1" applyFill="1" applyAlignment="1">
      <alignment horizontal="center"/>
    </xf>
    <xf numFmtId="0" fontId="16" fillId="6" borderId="19" xfId="0" applyFont="1" applyFill="1" applyBorder="1" applyAlignment="1">
      <alignment horizontal="center"/>
    </xf>
    <xf numFmtId="0" fontId="16" fillId="6" borderId="12" xfId="0" applyFont="1" applyFill="1" applyBorder="1" applyAlignment="1">
      <alignment horizontal="center"/>
    </xf>
    <xf numFmtId="0" fontId="16" fillId="6" borderId="13" xfId="0" applyFont="1" applyFill="1" applyBorder="1" applyAlignment="1">
      <alignment horizontal="center"/>
    </xf>
    <xf numFmtId="0" fontId="16" fillId="11" borderId="19" xfId="0" applyFont="1" applyFill="1" applyBorder="1" applyAlignment="1">
      <alignment horizontal="center"/>
    </xf>
    <xf numFmtId="0" fontId="16" fillId="11" borderId="12" xfId="0" applyFont="1" applyFill="1" applyBorder="1" applyAlignment="1">
      <alignment horizontal="center"/>
    </xf>
    <xf numFmtId="0" fontId="16" fillId="11" borderId="13" xfId="0" applyFont="1" applyFill="1" applyBorder="1" applyAlignment="1">
      <alignment horizontal="center"/>
    </xf>
    <xf numFmtId="0" fontId="16" fillId="15" borderId="19" xfId="0" applyFont="1" applyFill="1" applyBorder="1" applyAlignment="1">
      <alignment horizontal="center"/>
    </xf>
    <xf numFmtId="0" fontId="16" fillId="15" borderId="12" xfId="0" applyFont="1" applyFill="1" applyBorder="1" applyAlignment="1">
      <alignment horizontal="center"/>
    </xf>
    <xf numFmtId="0" fontId="16" fillId="15" borderId="13" xfId="0" applyFont="1" applyFill="1" applyBorder="1" applyAlignment="1">
      <alignment horizontal="center"/>
    </xf>
    <xf numFmtId="0" fontId="16" fillId="12" borderId="19" xfId="0" applyFont="1" applyFill="1" applyBorder="1" applyAlignment="1">
      <alignment horizontal="center"/>
    </xf>
    <xf numFmtId="0" fontId="16" fillId="12" borderId="12" xfId="0" applyFont="1" applyFill="1" applyBorder="1" applyAlignment="1">
      <alignment horizontal="center"/>
    </xf>
    <xf numFmtId="0" fontId="16" fillId="12" borderId="13" xfId="0" applyFont="1" applyFill="1" applyBorder="1" applyAlignment="1">
      <alignment horizontal="center"/>
    </xf>
    <xf numFmtId="43" fontId="3" fillId="2" borderId="0" xfId="1" applyFont="1" applyFill="1" applyAlignment="1">
      <alignment horizontal="center" vertical="center" wrapText="1"/>
    </xf>
    <xf numFmtId="43" fontId="3" fillId="2" borderId="0" xfId="1" applyFont="1" applyFill="1" applyAlignment="1">
      <alignment horizontal="center" wrapText="1"/>
    </xf>
    <xf numFmtId="43" fontId="5" fillId="0" borderId="15" xfId="0" applyNumberFormat="1" applyFont="1" applyBorder="1"/>
    <xf numFmtId="43" fontId="0" fillId="0" borderId="28" xfId="0" applyNumberFormat="1" applyBorder="1"/>
    <xf numFmtId="43" fontId="0" fillId="0" borderId="29" xfId="1" applyFont="1" applyBorder="1"/>
    <xf numFmtId="167" fontId="0" fillId="0" borderId="30" xfId="1" applyNumberFormat="1" applyFont="1" applyBorder="1"/>
    <xf numFmtId="43" fontId="0" fillId="0" borderId="31" xfId="0" applyNumberFormat="1" applyBorder="1"/>
    <xf numFmtId="43" fontId="0" fillId="0" borderId="18" xfId="0" applyNumberFormat="1" applyBorder="1"/>
    <xf numFmtId="165" fontId="10" fillId="2" borderId="19" xfId="1" applyNumberFormat="1" applyFont="1" applyFill="1" applyBorder="1" applyAlignment="1">
      <alignment horizontal="center" vertical="center"/>
    </xf>
    <xf numFmtId="43" fontId="10" fillId="2" borderId="5" xfId="1" applyFont="1" applyFill="1" applyBorder="1" applyAlignment="1">
      <alignment horizontal="center" vertical="center"/>
    </xf>
    <xf numFmtId="165" fontId="10" fillId="2" borderId="2" xfId="1" applyNumberFormat="1" applyFont="1" applyFill="1" applyBorder="1" applyAlignment="1">
      <alignment horizontal="center" vertical="center"/>
    </xf>
    <xf numFmtId="43" fontId="10" fillId="2" borderId="4" xfId="1" applyFont="1" applyFill="1" applyBorder="1" applyAlignment="1">
      <alignment horizontal="center" vertical="center"/>
    </xf>
    <xf numFmtId="43" fontId="0" fillId="0" borderId="17" xfId="0" applyNumberFormat="1" applyBorder="1"/>
  </cellXfs>
  <cellStyles count="3">
    <cellStyle name="Normal" xfId="0" builtinId="0"/>
    <cellStyle name="Porcentagem" xfId="2" builtinId="5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7C80"/>
      <color rgb="FFFF5050"/>
      <color rgb="FFF8736C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P33"/>
  <sheetViews>
    <sheetView showGridLines="0" tabSelected="1" workbookViewId="0">
      <selection activeCell="I2" sqref="I2"/>
    </sheetView>
  </sheetViews>
  <sheetFormatPr defaultColWidth="8.85546875" defaultRowHeight="15" x14ac:dyDescent="0.25"/>
  <cols>
    <col min="1" max="1" width="0.5703125" style="42" customWidth="1"/>
    <col min="2" max="2" width="22.42578125" style="42" bestFit="1" customWidth="1"/>
    <col min="3" max="3" width="14.140625" style="42" bestFit="1" customWidth="1"/>
    <col min="4" max="4" width="11.5703125" style="42" bestFit="1" customWidth="1"/>
    <col min="5" max="5" width="19.7109375" style="42" bestFit="1" customWidth="1"/>
    <col min="6" max="6" width="19" style="42" bestFit="1" customWidth="1"/>
    <col min="7" max="7" width="17.28515625" style="42" bestFit="1" customWidth="1"/>
    <col min="8" max="8" width="19.7109375" style="42" bestFit="1" customWidth="1"/>
    <col min="9" max="9" width="7.140625" style="42" customWidth="1"/>
    <col min="10" max="10" width="22.42578125" style="42" bestFit="1" customWidth="1"/>
    <col min="11" max="11" width="23.42578125" style="42" bestFit="1" customWidth="1"/>
    <col min="12" max="12" width="10.85546875" style="42" bestFit="1" customWidth="1"/>
    <col min="13" max="13" width="20.28515625" style="42" bestFit="1" customWidth="1"/>
    <col min="14" max="14" width="19.5703125" style="42" bestFit="1" customWidth="1"/>
    <col min="15" max="15" width="23" style="42" customWidth="1"/>
    <col min="16" max="16" width="12.85546875" style="42" bestFit="1" customWidth="1"/>
    <col min="17" max="17" width="17.85546875" style="42" bestFit="1" customWidth="1"/>
    <col min="18" max="18" width="8.5703125" style="42" bestFit="1" customWidth="1"/>
    <col min="19" max="19" width="19.7109375" style="42" bestFit="1" customWidth="1"/>
    <col min="20" max="20" width="9.7109375" style="42" bestFit="1" customWidth="1"/>
    <col min="21" max="21" width="6" style="42" customWidth="1"/>
    <col min="22" max="22" width="18.140625" style="42" bestFit="1" customWidth="1"/>
    <col min="23" max="23" width="5" style="42" bestFit="1" customWidth="1"/>
    <col min="24" max="16384" width="8.85546875" style="42"/>
  </cols>
  <sheetData>
    <row r="1" spans="1:16" x14ac:dyDescent="0.25">
      <c r="C1" s="115"/>
    </row>
    <row r="2" spans="1:16" x14ac:dyDescent="0.25">
      <c r="B2" s="121" t="s">
        <v>17</v>
      </c>
      <c r="C2" s="93"/>
      <c r="E2" s="121" t="s">
        <v>18</v>
      </c>
      <c r="F2" s="78" cm="1">
        <f t="array" ref="F2">SUM(Houses!C5:C9)+SUM(Houses!C15:C19)+SUM(Houses!C25:C29)+SUM(Houses!C35:C39)+SUM(Weapons!D17:D23)+SUM(Weapons!D39:D43)+SUM(Weapons!D5:D11)+SUM(Weapons!D29:D33)+SUM(Food!D5:D11)+SUM(Food!D17:D23)+SUM(Food!D29:D33)+SUM(Food!D39:D43+SUM(Airplanes!C5:C9)+SUM(Airplanes!C15:C19)+SUM(Airplanes!C25:C29)+SUM(Airplanes!C35:C39))</f>
        <v>0</v>
      </c>
      <c r="H2" s="40" t="s">
        <v>11</v>
      </c>
      <c r="I2" s="94"/>
      <c r="K2" s="121" t="s">
        <v>19</v>
      </c>
      <c r="L2" s="95">
        <f>SUM(Weapons!C5:C11)+SUM(Weapons!C17:C23)+SUM(Weapons!C29:C33)+SUM(Weapons!C39:C43)+SUM(Food!C5:C11)+SUM(Food!C17:C23)+SUM(Food!C29:C33)+SUM(Food!C39:C43)</f>
        <v>0</v>
      </c>
      <c r="N2" s="121" t="s">
        <v>86</v>
      </c>
      <c r="O2" s="93"/>
    </row>
    <row r="3" spans="1:16" ht="15.75" thickBot="1" x14ac:dyDescent="0.3"/>
    <row r="4" spans="1:16" ht="21.75" thickBot="1" x14ac:dyDescent="0.3">
      <c r="A4" s="43"/>
      <c r="B4" s="224" t="s">
        <v>29</v>
      </c>
      <c r="C4" s="225"/>
      <c r="D4" s="225"/>
      <c r="E4" s="225"/>
      <c r="F4" s="225"/>
      <c r="G4" s="225"/>
      <c r="H4" s="226"/>
      <c r="I4" s="43"/>
      <c r="J4" s="230" t="s">
        <v>30</v>
      </c>
      <c r="K4" s="231"/>
      <c r="L4" s="231"/>
      <c r="M4" s="231"/>
      <c r="N4" s="231"/>
      <c r="O4" s="231"/>
      <c r="P4" s="232"/>
    </row>
    <row r="5" spans="1:16" ht="15.75" thickBot="1" x14ac:dyDescent="0.3">
      <c r="A5" s="43"/>
      <c r="B5" s="161"/>
      <c r="C5" s="163" t="s">
        <v>21</v>
      </c>
      <c r="D5" s="174" t="s">
        <v>22</v>
      </c>
      <c r="E5" s="43"/>
      <c r="F5" s="43"/>
      <c r="G5" s="62" t="s">
        <v>21</v>
      </c>
      <c r="H5" s="182" t="s">
        <v>22</v>
      </c>
      <c r="I5" s="43"/>
      <c r="J5" s="161"/>
      <c r="K5" s="163" t="s">
        <v>21</v>
      </c>
      <c r="L5" s="174" t="s">
        <v>22</v>
      </c>
      <c r="M5" s="43"/>
      <c r="N5" s="43"/>
      <c r="O5" s="62" t="s">
        <v>21</v>
      </c>
      <c r="P5" s="182" t="s">
        <v>22</v>
      </c>
    </row>
    <row r="6" spans="1:16" ht="15.75" thickBot="1" x14ac:dyDescent="0.3">
      <c r="A6" s="43"/>
      <c r="B6" s="103" t="s">
        <v>20</v>
      </c>
      <c r="C6" s="154" t="s">
        <v>24</v>
      </c>
      <c r="D6" s="155" t="s">
        <v>24</v>
      </c>
      <c r="E6" s="43"/>
      <c r="F6" s="175" t="s">
        <v>26</v>
      </c>
      <c r="G6" s="185">
        <f>(100+$G$7+$G$8+$G$9)-G10</f>
        <v>100</v>
      </c>
      <c r="H6" s="186">
        <f>(100+$H$7+$H$8+$H$9)-H10</f>
        <v>100</v>
      </c>
      <c r="J6" s="103" t="s">
        <v>20</v>
      </c>
      <c r="K6" s="154" t="s">
        <v>24</v>
      </c>
      <c r="L6" s="155" t="s">
        <v>24</v>
      </c>
      <c r="M6" s="43"/>
      <c r="N6" s="175" t="s">
        <v>26</v>
      </c>
      <c r="O6" s="176">
        <f>(100+$O$7+$O$8+$O$9)-O10</f>
        <v>100</v>
      </c>
      <c r="P6" s="177">
        <f>(100+$P$7+$P$8+$P$9)-P10</f>
        <v>100</v>
      </c>
    </row>
    <row r="7" spans="1:16" x14ac:dyDescent="0.25">
      <c r="A7" s="43"/>
      <c r="B7" s="56" t="s">
        <v>25</v>
      </c>
      <c r="C7" s="52"/>
      <c r="D7" s="52"/>
      <c r="E7" s="43"/>
      <c r="F7" s="172" t="s">
        <v>27</v>
      </c>
      <c r="G7" s="133"/>
      <c r="H7" s="97"/>
      <c r="J7" s="56" t="s">
        <v>25</v>
      </c>
      <c r="K7" s="52"/>
      <c r="L7" s="52"/>
      <c r="M7" s="43"/>
      <c r="N7" s="172" t="s">
        <v>27</v>
      </c>
      <c r="O7" s="133"/>
      <c r="P7" s="97"/>
    </row>
    <row r="8" spans="1:16" x14ac:dyDescent="0.25">
      <c r="A8" s="43"/>
      <c r="B8" s="96" t="s">
        <v>0</v>
      </c>
      <c r="C8" s="52"/>
      <c r="D8" s="52"/>
      <c r="E8" s="43"/>
      <c r="F8" s="172" t="s">
        <v>28</v>
      </c>
      <c r="G8" s="133"/>
      <c r="H8" s="97"/>
      <c r="J8" s="96" t="s">
        <v>0</v>
      </c>
      <c r="K8" s="52"/>
      <c r="L8" s="52"/>
      <c r="M8" s="43"/>
      <c r="N8" s="172" t="s">
        <v>28</v>
      </c>
      <c r="O8" s="133"/>
      <c r="P8" s="97"/>
    </row>
    <row r="9" spans="1:16" x14ac:dyDescent="0.25">
      <c r="A9" s="43"/>
      <c r="B9" s="96" t="s">
        <v>1</v>
      </c>
      <c r="C9" s="52"/>
      <c r="D9" s="52"/>
      <c r="E9" s="43"/>
      <c r="F9" s="172" t="s">
        <v>5</v>
      </c>
      <c r="G9" s="219">
        <f>IF('General information'!$I$2=1,20,IF('General information'!$I$2=2,26,0))</f>
        <v>0</v>
      </c>
      <c r="H9" s="220">
        <f>IF('General information'!$I$2=1,20,IF('General information'!$I$2=2,26,0))</f>
        <v>0</v>
      </c>
      <c r="J9" s="96" t="s">
        <v>1</v>
      </c>
      <c r="K9" s="52"/>
      <c r="L9" s="52"/>
      <c r="M9" s="43"/>
      <c r="N9" s="172" t="s">
        <v>5</v>
      </c>
      <c r="O9" s="219">
        <f>IF('General information'!$I$2=1,20,IF('General information'!$I$2=2,26,0))</f>
        <v>0</v>
      </c>
      <c r="P9" s="220">
        <f>IF('General information'!$I$2=1,20,IF('General information'!$I$2=2,26,0))</f>
        <v>0</v>
      </c>
    </row>
    <row r="10" spans="1:16" ht="15.75" thickBot="1" x14ac:dyDescent="0.3">
      <c r="A10" s="43"/>
      <c r="B10" s="96" t="s">
        <v>2</v>
      </c>
      <c r="C10" s="52"/>
      <c r="D10" s="52"/>
      <c r="E10" s="43"/>
      <c r="F10" s="173" t="s">
        <v>24</v>
      </c>
      <c r="G10" s="58"/>
      <c r="H10" s="49"/>
      <c r="I10" s="43"/>
      <c r="J10" s="96" t="s">
        <v>2</v>
      </c>
      <c r="K10" s="52"/>
      <c r="L10" s="52"/>
      <c r="M10" s="43"/>
      <c r="N10" s="173" t="s">
        <v>24</v>
      </c>
      <c r="O10" s="58"/>
      <c r="P10" s="49"/>
    </row>
    <row r="11" spans="1:16" x14ac:dyDescent="0.25">
      <c r="A11" s="43"/>
      <c r="B11" s="96" t="s">
        <v>3</v>
      </c>
      <c r="C11" s="52"/>
      <c r="D11" s="52"/>
      <c r="E11" s="43"/>
      <c r="F11" s="43"/>
      <c r="G11" s="43"/>
      <c r="H11" s="53"/>
      <c r="I11" s="43"/>
      <c r="J11" s="96" t="s">
        <v>3</v>
      </c>
      <c r="K11" s="52"/>
      <c r="L11" s="52"/>
      <c r="M11" s="43"/>
      <c r="N11" s="43"/>
      <c r="O11" s="43"/>
      <c r="P11" s="53"/>
    </row>
    <row r="12" spans="1:16" x14ac:dyDescent="0.25">
      <c r="A12" s="43"/>
      <c r="B12" s="56" t="s">
        <v>4</v>
      </c>
      <c r="C12" s="52"/>
      <c r="D12" s="52"/>
      <c r="E12" s="43"/>
      <c r="F12" s="43"/>
      <c r="G12" s="43"/>
      <c r="H12" s="53"/>
      <c r="I12" s="43"/>
      <c r="J12" s="56" t="s">
        <v>4</v>
      </c>
      <c r="K12" s="52"/>
      <c r="L12" s="52"/>
      <c r="M12" s="43"/>
      <c r="N12" s="43"/>
      <c r="O12" s="43"/>
      <c r="P12" s="53"/>
    </row>
    <row r="13" spans="1:16" x14ac:dyDescent="0.25">
      <c r="A13" s="43"/>
      <c r="B13" s="56" t="s">
        <v>6</v>
      </c>
      <c r="C13" s="59"/>
      <c r="D13" s="59"/>
      <c r="E13" s="43"/>
      <c r="F13" s="43"/>
      <c r="G13" s="159" t="s">
        <v>32</v>
      </c>
      <c r="H13" s="100"/>
      <c r="I13" s="43"/>
      <c r="J13" s="56" t="s">
        <v>6</v>
      </c>
      <c r="K13" s="59"/>
      <c r="L13" s="59"/>
      <c r="M13" s="43"/>
      <c r="N13" s="43"/>
      <c r="O13" s="159" t="s">
        <v>32</v>
      </c>
      <c r="P13" s="98"/>
    </row>
    <row r="14" spans="1:16" ht="15.75" thickBot="1" x14ac:dyDescent="0.3">
      <c r="A14" s="43"/>
      <c r="B14" s="101" t="s">
        <v>7</v>
      </c>
      <c r="C14" s="61"/>
      <c r="D14" s="61"/>
      <c r="E14" s="60"/>
      <c r="F14" s="60"/>
      <c r="G14" s="160" t="s">
        <v>33</v>
      </c>
      <c r="H14" s="54"/>
      <c r="I14" s="43"/>
      <c r="J14" s="101" t="s">
        <v>7</v>
      </c>
      <c r="K14" s="61"/>
      <c r="L14" s="61"/>
      <c r="M14" s="60"/>
      <c r="N14" s="60"/>
      <c r="O14" s="160" t="s">
        <v>33</v>
      </c>
      <c r="P14" s="54"/>
    </row>
    <row r="15" spans="1:16" x14ac:dyDescent="0.25">
      <c r="I15" s="43"/>
      <c r="J15" s="43"/>
      <c r="K15" s="43"/>
      <c r="L15" s="43"/>
    </row>
    <row r="16" spans="1:16" ht="15.75" thickBot="1" x14ac:dyDescent="0.3"/>
    <row r="17" spans="2:16" ht="21.75" thickBot="1" x14ac:dyDescent="0.3">
      <c r="B17" s="227" t="s">
        <v>31</v>
      </c>
      <c r="C17" s="228"/>
      <c r="D17" s="228"/>
      <c r="E17" s="228"/>
      <c r="F17" s="228"/>
      <c r="G17" s="228"/>
      <c r="H17" s="229"/>
      <c r="J17" s="233" t="s">
        <v>9</v>
      </c>
      <c r="K17" s="234"/>
      <c r="L17" s="234"/>
      <c r="M17" s="234"/>
      <c r="N17" s="234"/>
      <c r="O17" s="234"/>
      <c r="P17" s="235"/>
    </row>
    <row r="18" spans="2:16" ht="15.75" thickBot="1" x14ac:dyDescent="0.3">
      <c r="B18" s="41"/>
      <c r="C18" s="48" t="s">
        <v>21</v>
      </c>
      <c r="D18" s="102" t="s">
        <v>22</v>
      </c>
      <c r="E18" s="43"/>
      <c r="F18" s="43"/>
      <c r="G18" s="62" t="s">
        <v>21</v>
      </c>
      <c r="H18" s="182" t="s">
        <v>22</v>
      </c>
      <c r="I18" s="43"/>
      <c r="J18" s="41"/>
      <c r="K18" s="48" t="s">
        <v>21</v>
      </c>
      <c r="L18" s="102" t="s">
        <v>22</v>
      </c>
      <c r="M18" s="43"/>
      <c r="N18" s="43"/>
      <c r="O18" s="62" t="s">
        <v>21</v>
      </c>
      <c r="P18" s="182" t="s">
        <v>22</v>
      </c>
    </row>
    <row r="19" spans="2:16" ht="15.75" thickBot="1" x14ac:dyDescent="0.3">
      <c r="B19" s="62" t="s">
        <v>20</v>
      </c>
      <c r="C19" s="104" t="s">
        <v>24</v>
      </c>
      <c r="D19" s="63" t="s">
        <v>24</v>
      </c>
      <c r="E19" s="43"/>
      <c r="F19" s="171" t="s">
        <v>26</v>
      </c>
      <c r="G19" s="183">
        <f>(100+$G$20+$G$21+$G$22)-G23</f>
        <v>100</v>
      </c>
      <c r="H19" s="184">
        <f>(100+$H$20+$H$21+$H$22)-H23</f>
        <v>100</v>
      </c>
      <c r="J19" s="62" t="s">
        <v>20</v>
      </c>
      <c r="K19" s="104" t="s">
        <v>24</v>
      </c>
      <c r="L19" s="63" t="s">
        <v>24</v>
      </c>
      <c r="M19" s="43"/>
      <c r="N19" s="171" t="s">
        <v>26</v>
      </c>
      <c r="O19" s="183">
        <f>(100+$O$20+$O$21+$O$22)-O23</f>
        <v>100</v>
      </c>
      <c r="P19" s="184">
        <f>(100+$P$20+$P$21+$P$22)-P23</f>
        <v>100</v>
      </c>
    </row>
    <row r="20" spans="2:16" x14ac:dyDescent="0.25">
      <c r="B20" s="56" t="s">
        <v>25</v>
      </c>
      <c r="C20" s="52"/>
      <c r="D20" s="52"/>
      <c r="E20" s="43"/>
      <c r="F20" s="172" t="s">
        <v>27</v>
      </c>
      <c r="G20" s="133"/>
      <c r="H20" s="97"/>
      <c r="J20" s="56" t="s">
        <v>25</v>
      </c>
      <c r="K20" s="52"/>
      <c r="L20" s="52"/>
      <c r="M20" s="43"/>
      <c r="N20" s="172" t="s">
        <v>27</v>
      </c>
      <c r="O20" s="58"/>
      <c r="P20" s="49"/>
    </row>
    <row r="21" spans="2:16" x14ac:dyDescent="0.25">
      <c r="B21" s="57" t="s">
        <v>0</v>
      </c>
      <c r="C21" s="51"/>
      <c r="D21" s="51"/>
      <c r="E21" s="43"/>
      <c r="F21" s="172" t="s">
        <v>28</v>
      </c>
      <c r="G21" s="133"/>
      <c r="H21" s="97"/>
      <c r="J21" s="57" t="s">
        <v>0</v>
      </c>
      <c r="K21" s="51"/>
      <c r="L21" s="51"/>
      <c r="M21" s="43"/>
      <c r="N21" s="172" t="s">
        <v>28</v>
      </c>
      <c r="O21" s="58"/>
      <c r="P21" s="49"/>
    </row>
    <row r="22" spans="2:16" x14ac:dyDescent="0.25">
      <c r="B22" s="57" t="s">
        <v>1</v>
      </c>
      <c r="C22" s="52"/>
      <c r="D22" s="52"/>
      <c r="E22" s="43"/>
      <c r="F22" s="172" t="s">
        <v>5</v>
      </c>
      <c r="G22" s="219">
        <f>IF('General information'!$I$2=1,20,IF('General information'!$I$2=2,26,0))</f>
        <v>0</v>
      </c>
      <c r="H22" s="220">
        <f>IF('General information'!$I$2=1,20,IF('General information'!$I$2=2,26,0))</f>
        <v>0</v>
      </c>
      <c r="J22" s="57" t="s">
        <v>1</v>
      </c>
      <c r="K22" s="52"/>
      <c r="L22" s="52"/>
      <c r="M22" s="43"/>
      <c r="N22" s="172" t="s">
        <v>5</v>
      </c>
      <c r="O22" s="219">
        <f>IF('General information'!$I$2=1,20,IF('General information'!$I$2=2,26,0))</f>
        <v>0</v>
      </c>
      <c r="P22" s="220">
        <f>IF('General information'!$I$2=1,20,IF('General information'!$I$2=2,26,0))</f>
        <v>0</v>
      </c>
    </row>
    <row r="23" spans="2:16" ht="15.75" thickBot="1" x14ac:dyDescent="0.3">
      <c r="B23" s="57" t="s">
        <v>2</v>
      </c>
      <c r="C23" s="51"/>
      <c r="D23" s="51"/>
      <c r="E23" s="43"/>
      <c r="F23" s="173" t="s">
        <v>24</v>
      </c>
      <c r="G23" s="58"/>
      <c r="H23" s="49"/>
      <c r="I23" s="43"/>
      <c r="J23" s="57" t="s">
        <v>2</v>
      </c>
      <c r="K23" s="51"/>
      <c r="L23" s="51"/>
      <c r="M23" s="43"/>
      <c r="N23" s="173" t="s">
        <v>24</v>
      </c>
      <c r="O23" s="58"/>
      <c r="P23" s="49"/>
    </row>
    <row r="24" spans="2:16" x14ac:dyDescent="0.25">
      <c r="B24" s="57" t="s">
        <v>3</v>
      </c>
      <c r="C24" s="51"/>
      <c r="D24" s="51"/>
      <c r="E24" s="43"/>
      <c r="F24" s="43"/>
      <c r="G24" s="43"/>
      <c r="H24" s="53"/>
      <c r="J24" s="57" t="s">
        <v>3</v>
      </c>
      <c r="K24" s="51"/>
      <c r="L24" s="51"/>
      <c r="M24" s="43"/>
      <c r="N24" s="43"/>
      <c r="O24" s="43"/>
      <c r="P24" s="53"/>
    </row>
    <row r="25" spans="2:16" x14ac:dyDescent="0.25">
      <c r="B25" s="57" t="s">
        <v>4</v>
      </c>
      <c r="C25" s="51"/>
      <c r="D25" s="51"/>
      <c r="E25" s="43"/>
      <c r="F25" s="43"/>
      <c r="G25" s="43"/>
      <c r="H25" s="53"/>
      <c r="J25" s="57" t="s">
        <v>4</v>
      </c>
      <c r="K25" s="51"/>
      <c r="L25" s="51"/>
      <c r="M25" s="43"/>
      <c r="N25" s="43"/>
      <c r="O25" s="43"/>
      <c r="P25" s="53"/>
    </row>
    <row r="26" spans="2:16" x14ac:dyDescent="0.25">
      <c r="B26" s="57" t="s">
        <v>6</v>
      </c>
      <c r="C26" s="51"/>
      <c r="D26" s="51"/>
      <c r="E26" s="43"/>
      <c r="F26" s="43"/>
      <c r="G26" s="43"/>
      <c r="H26" s="53"/>
      <c r="J26" s="57" t="s">
        <v>6</v>
      </c>
      <c r="K26" s="51"/>
      <c r="L26" s="51"/>
      <c r="M26" s="43"/>
      <c r="N26" s="43"/>
      <c r="O26" s="43"/>
      <c r="P26" s="53"/>
    </row>
    <row r="27" spans="2:16" x14ac:dyDescent="0.25">
      <c r="B27" s="57" t="s">
        <v>7</v>
      </c>
      <c r="C27" s="51"/>
      <c r="D27" s="51"/>
      <c r="E27" s="43"/>
      <c r="F27" s="43"/>
      <c r="G27" s="43"/>
      <c r="H27" s="53"/>
      <c r="J27" s="57" t="s">
        <v>7</v>
      </c>
      <c r="K27" s="51"/>
      <c r="L27" s="51"/>
      <c r="M27" s="43"/>
      <c r="N27" s="43"/>
      <c r="O27" s="43"/>
      <c r="P27" s="53"/>
    </row>
    <row r="28" spans="2:16" ht="15.75" thickBot="1" x14ac:dyDescent="0.3">
      <c r="B28" s="79"/>
      <c r="C28" s="43"/>
      <c r="D28" s="43"/>
      <c r="E28" s="43"/>
      <c r="F28" s="43"/>
      <c r="G28" s="43"/>
      <c r="H28" s="53"/>
      <c r="J28" s="79"/>
      <c r="K28" s="43"/>
      <c r="L28" s="43"/>
      <c r="M28" s="43"/>
      <c r="N28" s="43"/>
      <c r="O28" s="43"/>
      <c r="P28" s="53"/>
    </row>
    <row r="29" spans="2:16" ht="15.75" thickBot="1" x14ac:dyDescent="0.3">
      <c r="B29" s="79"/>
      <c r="C29" s="178" t="s">
        <v>17</v>
      </c>
      <c r="D29" s="167" t="s">
        <v>34</v>
      </c>
      <c r="E29" s="179" t="s">
        <v>35</v>
      </c>
      <c r="F29" s="43"/>
      <c r="G29" s="43"/>
      <c r="H29" s="53"/>
      <c r="J29" s="79"/>
      <c r="K29" s="178" t="s">
        <v>17</v>
      </c>
      <c r="L29" s="167" t="s">
        <v>34</v>
      </c>
      <c r="M29" s="179" t="s">
        <v>35</v>
      </c>
      <c r="N29" s="43"/>
      <c r="O29" s="43"/>
      <c r="P29" s="53"/>
    </row>
    <row r="30" spans="2:16" ht="15.75" thickBot="1" x14ac:dyDescent="0.3">
      <c r="B30" s="156" t="s">
        <v>21</v>
      </c>
      <c r="C30" s="52"/>
      <c r="D30" s="52"/>
      <c r="E30" s="221">
        <f>C30*D30%</f>
        <v>0</v>
      </c>
      <c r="F30" s="43"/>
      <c r="G30" s="43"/>
      <c r="H30" s="53"/>
      <c r="J30" s="156" t="s">
        <v>21</v>
      </c>
      <c r="K30" s="59"/>
      <c r="L30" s="59"/>
      <c r="M30" s="221">
        <f>K30*L30%</f>
        <v>0</v>
      </c>
      <c r="N30" s="43"/>
      <c r="O30" s="43"/>
      <c r="P30" s="53"/>
    </row>
    <row r="31" spans="2:16" x14ac:dyDescent="0.25">
      <c r="B31" s="157" t="s">
        <v>22</v>
      </c>
      <c r="C31" s="52"/>
      <c r="D31" s="52"/>
      <c r="E31" s="221">
        <f>C31*D31%</f>
        <v>0</v>
      </c>
      <c r="F31" s="43"/>
      <c r="G31" s="180" t="s">
        <v>32</v>
      </c>
      <c r="H31" s="100"/>
      <c r="J31" s="157" t="s">
        <v>22</v>
      </c>
      <c r="K31" s="59"/>
      <c r="L31" s="59"/>
      <c r="M31" s="221">
        <f>K31*L31%</f>
        <v>0</v>
      </c>
      <c r="N31" s="43"/>
      <c r="O31" s="180" t="s">
        <v>32</v>
      </c>
      <c r="P31" s="139"/>
    </row>
    <row r="32" spans="2:16" ht="15.75" thickBot="1" x14ac:dyDescent="0.3">
      <c r="B32" s="158" t="s">
        <v>23</v>
      </c>
      <c r="C32" s="50"/>
      <c r="D32" s="50"/>
      <c r="E32" s="222">
        <f>C32*D32%</f>
        <v>0</v>
      </c>
      <c r="F32" s="60"/>
      <c r="G32" s="181" t="s">
        <v>33</v>
      </c>
      <c r="H32" s="54"/>
      <c r="J32" s="158" t="s">
        <v>23</v>
      </c>
      <c r="K32" s="61"/>
      <c r="L32" s="61"/>
      <c r="M32" s="222">
        <f>K32*L32%</f>
        <v>0</v>
      </c>
      <c r="N32" s="60"/>
      <c r="O32" s="181" t="s">
        <v>33</v>
      </c>
      <c r="P32" s="54"/>
    </row>
    <row r="33" spans="10:13" x14ac:dyDescent="0.25">
      <c r="J33" s="43"/>
      <c r="K33" s="43"/>
      <c r="L33" s="43"/>
      <c r="M33" s="43"/>
    </row>
  </sheetData>
  <sheetProtection sheet="1" objects="1" scenarios="1"/>
  <mergeCells count="4">
    <mergeCell ref="B4:H4"/>
    <mergeCell ref="B17:H17"/>
    <mergeCell ref="J4:P4"/>
    <mergeCell ref="J17:P17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  <ignoredErrors>
    <ignoredError sqref="E30:E32 M31:M32 B15:P16 B21:B22 E22 E20:E21 I21:J21 B9:B12 E9:H9 B13:B14 I13:J13 E14:F14 E11:J11 E10 I10:J10 E19 M19 B18 E18:F18 I18:J18 M18:N18 I20 O19:P19 G19:I19 O9:P9 O22:P22 G22:J22 C17:I17 K17:P17 E13:F13 I9:J9 I14:J14 M14:N14 M13:N13 E12:J12 M12:P12 M11:P11 M10 M9 M20 M21 M22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AG40"/>
  <sheetViews>
    <sheetView showGridLines="0" topLeftCell="A7" zoomScaleNormal="100" workbookViewId="0">
      <selection activeCell="E9" sqref="E9"/>
    </sheetView>
  </sheetViews>
  <sheetFormatPr defaultColWidth="8.85546875" defaultRowHeight="15" x14ac:dyDescent="0.25"/>
  <cols>
    <col min="1" max="1" width="1" style="44" customWidth="1"/>
    <col min="2" max="2" width="17.85546875" style="44" bestFit="1" customWidth="1"/>
    <col min="3" max="3" width="13.42578125" style="44" bestFit="1" customWidth="1"/>
    <col min="4" max="4" width="11.85546875" style="44" customWidth="1"/>
    <col min="5" max="5" width="15.140625" style="44" bestFit="1" customWidth="1"/>
    <col min="6" max="6" width="13.7109375" style="44" customWidth="1"/>
    <col min="7" max="7" width="13.140625" style="44" customWidth="1"/>
    <col min="8" max="8" width="16.140625" style="44" hidden="1" customWidth="1"/>
    <col min="9" max="9" width="14.28515625" style="44" customWidth="1"/>
    <col min="10" max="10" width="13.28515625" style="44" bestFit="1" customWidth="1"/>
    <col min="11" max="11" width="19.85546875" style="44" bestFit="1" customWidth="1"/>
    <col min="12" max="13" width="17.140625" style="44" customWidth="1"/>
    <col min="14" max="14" width="15.28515625" style="66" bestFit="1" customWidth="1"/>
    <col min="15" max="15" width="18" style="66" bestFit="1" customWidth="1"/>
    <col min="16" max="16" width="16.140625" style="66" bestFit="1" customWidth="1"/>
    <col min="17" max="17" width="20.5703125" style="66" bestFit="1" customWidth="1"/>
    <col min="18" max="18" width="19" style="66" bestFit="1" customWidth="1"/>
    <col min="19" max="19" width="20.5703125" style="44" bestFit="1" customWidth="1"/>
    <col min="20" max="20" width="12.85546875" style="44" bestFit="1" customWidth="1"/>
    <col min="21" max="21" width="13.28515625" style="44" bestFit="1" customWidth="1"/>
    <col min="22" max="22" width="13.85546875" style="44" bestFit="1" customWidth="1"/>
    <col min="23" max="23" width="19.28515625" style="44" bestFit="1" customWidth="1"/>
    <col min="24" max="24" width="13.42578125" style="44" bestFit="1" customWidth="1"/>
    <col min="25" max="25" width="12.85546875" style="44" bestFit="1" customWidth="1"/>
    <col min="26" max="26" width="10.140625" style="44" bestFit="1" customWidth="1"/>
    <col min="27" max="27" width="6" style="44" bestFit="1" customWidth="1"/>
    <col min="28" max="28" width="9.7109375" style="44" bestFit="1" customWidth="1"/>
    <col min="29" max="29" width="11.42578125" style="44" bestFit="1" customWidth="1"/>
    <col min="30" max="30" width="10.7109375" style="44" bestFit="1" customWidth="1"/>
    <col min="31" max="31" width="13.28515625" style="44" bestFit="1" customWidth="1"/>
    <col min="32" max="32" width="14" style="44" bestFit="1" customWidth="1"/>
    <col min="33" max="16384" width="8.85546875" style="44"/>
  </cols>
  <sheetData>
    <row r="1" spans="1:25" ht="6" customHeight="1" thickBot="1" x14ac:dyDescent="0.3">
      <c r="M1" s="66"/>
    </row>
    <row r="2" spans="1:25" ht="21.75" thickBot="1" x14ac:dyDescent="0.3">
      <c r="B2" s="248" t="s">
        <v>14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R2" s="44"/>
    </row>
    <row r="3" spans="1:25" x14ac:dyDescent="0.25">
      <c r="B3" s="161" t="s">
        <v>29</v>
      </c>
      <c r="C3" s="236" t="s">
        <v>37</v>
      </c>
      <c r="D3" s="236" t="s">
        <v>38</v>
      </c>
      <c r="E3" s="236" t="s">
        <v>39</v>
      </c>
      <c r="F3" s="246" t="s">
        <v>40</v>
      </c>
      <c r="G3" s="246" t="s">
        <v>41</v>
      </c>
      <c r="H3" s="246" t="s">
        <v>42</v>
      </c>
      <c r="I3" s="240" t="s">
        <v>50</v>
      </c>
      <c r="J3" s="236" t="s">
        <v>43</v>
      </c>
      <c r="K3" s="236" t="s">
        <v>44</v>
      </c>
      <c r="L3" s="236" t="s">
        <v>45</v>
      </c>
      <c r="M3" s="236" t="s">
        <v>46</v>
      </c>
      <c r="N3" s="236" t="s">
        <v>47</v>
      </c>
      <c r="O3" s="236" t="s">
        <v>48</v>
      </c>
      <c r="P3" s="238" t="s">
        <v>49</v>
      </c>
      <c r="R3" s="44"/>
      <c r="Y3" s="66"/>
    </row>
    <row r="4" spans="1:25" ht="15.75" thickBot="1" x14ac:dyDescent="0.3">
      <c r="B4" s="47" t="s">
        <v>36</v>
      </c>
      <c r="C4" s="237"/>
      <c r="D4" s="237"/>
      <c r="E4" s="237"/>
      <c r="F4" s="247"/>
      <c r="G4" s="247"/>
      <c r="H4" s="247"/>
      <c r="I4" s="241"/>
      <c r="J4" s="237"/>
      <c r="K4" s="237"/>
      <c r="L4" s="237"/>
      <c r="M4" s="237"/>
      <c r="N4" s="237"/>
      <c r="O4" s="237"/>
      <c r="P4" s="239"/>
      <c r="R4" s="44"/>
    </row>
    <row r="5" spans="1:25" x14ac:dyDescent="0.25">
      <c r="B5" s="67" t="s">
        <v>0</v>
      </c>
      <c r="C5" s="68"/>
      <c r="D5" s="69">
        <f>C5*(20*((100+'General information'!$G$7+'General information'!$G$8+'General information'!$G$9)-'General information'!$C$8)/100)</f>
        <v>0</v>
      </c>
      <c r="E5" s="69">
        <f>(C5*(20*((100+'General information'!$G$7+'General information'!$G$8+'General information'!$G$9)-'General information'!C8)))/1000</f>
        <v>0</v>
      </c>
      <c r="F5" s="69">
        <f>IF(ISERROR(100/D5),0,100/D5)</f>
        <v>0</v>
      </c>
      <c r="G5" s="69">
        <f>IFERROR(1/F5,0)</f>
        <v>0</v>
      </c>
      <c r="H5" s="69">
        <f>IF((G5*F5)&lt;1,G5*F5*G5,1)*IF(G5&lt;1,1,INT(G5))</f>
        <v>0</v>
      </c>
      <c r="I5" s="69">
        <f>IF(F5=1,C5*'General information'!$C$2,IF(F5&lt;0,(H5)*C5*'General information'!$C$2,(F5*H5)*C5*'General information'!$C$2))</f>
        <v>0</v>
      </c>
      <c r="J5" s="69">
        <f>10*H5</f>
        <v>0</v>
      </c>
      <c r="K5" s="69">
        <f>J5*Houses!$N$24</f>
        <v>0</v>
      </c>
      <c r="L5" s="69">
        <f>IFERROR((I5)/H5+IF(I5=0,0,K5/H5),0)</f>
        <v>0</v>
      </c>
      <c r="M5" s="69">
        <f>L5+IF(L5=0,0,$O$25)</f>
        <v>0</v>
      </c>
      <c r="N5" s="69">
        <f>($N$25-$O$25)*H5</f>
        <v>0</v>
      </c>
      <c r="O5" s="69">
        <f>(N5-(L5*H5))</f>
        <v>0</v>
      </c>
      <c r="P5" s="120">
        <f>IF(D5=0,0,(IF((ISERROR(($N$25-$O$25)/L5)),0,($N$25-$O$25)/L5)-1))</f>
        <v>0</v>
      </c>
      <c r="R5" s="44"/>
      <c r="Y5" s="71"/>
    </row>
    <row r="6" spans="1:25" x14ac:dyDescent="0.25">
      <c r="B6" s="72" t="s">
        <v>1</v>
      </c>
      <c r="C6" s="73"/>
      <c r="D6" s="70">
        <f>C6*(10*((100+'General information'!$G$7+'General information'!$G$8+'General information'!$G$9)-'General information'!$C$9)/100)</f>
        <v>0</v>
      </c>
      <c r="E6" s="69">
        <f>(C6*(20*((100+'General information'!$G$7+'General information'!$G$8+'General information'!$G$9)-'General information'!C9)))/1000</f>
        <v>0</v>
      </c>
      <c r="F6" s="70">
        <f>IF(ISERROR(100/D6),0,100/D6)</f>
        <v>0</v>
      </c>
      <c r="G6" s="70">
        <f>IFERROR(1/F6,0)</f>
        <v>0</v>
      </c>
      <c r="H6" s="70">
        <f>IF((G6*F6)&lt;1,G6*F6*G6,1)*IF(G6&lt;1,1,INT(G6))</f>
        <v>0</v>
      </c>
      <c r="I6" s="70">
        <f>IF(F6=1,C6*'General information'!$C$2,IF(F6&lt;0,(H6)*C6*'General information'!$C$2,(F6*H6)*C6*'General information'!$C$2))</f>
        <v>0</v>
      </c>
      <c r="J6" s="70">
        <f>20*H6</f>
        <v>0</v>
      </c>
      <c r="K6" s="70">
        <f>J6*Houses!$N$24</f>
        <v>0</v>
      </c>
      <c r="L6" s="70">
        <f>IFERROR((I6)/H6+IF(I6=0,0,K6/H6),0)</f>
        <v>0</v>
      </c>
      <c r="M6" s="69">
        <f>L6+IF(L6=0,0,$O$26)</f>
        <v>0</v>
      </c>
      <c r="N6" s="70">
        <f>($N$26-$O$26)*H6</f>
        <v>0</v>
      </c>
      <c r="O6" s="69">
        <f>(N6-(L6*H6))</f>
        <v>0</v>
      </c>
      <c r="P6" s="120">
        <f>IF(D6=0,0,(IF((ISERROR(($N$26-$O$26)/L6)),0,($N$26-$O$26)/L6)-1))</f>
        <v>0</v>
      </c>
      <c r="R6" s="44"/>
      <c r="Y6" s="71"/>
    </row>
    <row r="7" spans="1:25" x14ac:dyDescent="0.25">
      <c r="B7" s="72" t="s">
        <v>2</v>
      </c>
      <c r="C7" s="73"/>
      <c r="D7" s="70">
        <f>C7*(5*((100+'General information'!$G$7+'General information'!$G$8+'General information'!$G$9)-'General information'!$C$10)/100)</f>
        <v>0</v>
      </c>
      <c r="E7" s="69">
        <f>(C7*(20*((100+'General information'!$G$7+'General information'!$G$8+'General information'!$G$9)-'General information'!C10)))/1000</f>
        <v>0</v>
      </c>
      <c r="F7" s="70">
        <f>IF(ISERROR(100/D7),0,100/D7)</f>
        <v>0</v>
      </c>
      <c r="G7" s="70">
        <f>IFERROR(1/F7,0)</f>
        <v>0</v>
      </c>
      <c r="H7" s="70">
        <f>IF((G7*F7)&lt;1,G7*F7*G7,1)*IF(G7&lt;1,1,INT(G7))</f>
        <v>0</v>
      </c>
      <c r="I7" s="70">
        <f>IF(F7=1,C7*'General information'!$C$2,IF(F7&lt;0,(H7)*C7*'General information'!$C$2,(F7*H7)*C7*'General information'!$C$2))</f>
        <v>0</v>
      </c>
      <c r="J7" s="70">
        <f>40*H7</f>
        <v>0</v>
      </c>
      <c r="K7" s="70">
        <f>J7*Houses!$N$24</f>
        <v>0</v>
      </c>
      <c r="L7" s="70">
        <f>IFERROR((I7)/H7+IF(I7=0,0,K7/H7),0)</f>
        <v>0</v>
      </c>
      <c r="M7" s="69">
        <f>L7+IF(L7=0,0,$O$27)</f>
        <v>0</v>
      </c>
      <c r="N7" s="70">
        <f>($N$27-$O$27)*H7</f>
        <v>0</v>
      </c>
      <c r="O7" s="69">
        <f>(N7-(L7*H7))</f>
        <v>0</v>
      </c>
      <c r="P7" s="120">
        <f>IF(D7=0,0,(IF((ISERROR(($N$27-$O$27)/L7)),0,($N$27-$O$27)/L7)-1))</f>
        <v>0</v>
      </c>
      <c r="R7" s="44"/>
      <c r="Y7" s="71"/>
    </row>
    <row r="8" spans="1:25" x14ac:dyDescent="0.25">
      <c r="B8" s="72" t="s">
        <v>3</v>
      </c>
      <c r="C8" s="73"/>
      <c r="D8" s="70">
        <f>C8*(2.5*((100+'General information'!$G$7+'General information'!$G$8+'General information'!$G$9)-'General information'!$C$11)/100)</f>
        <v>0</v>
      </c>
      <c r="E8" s="69">
        <f>(C8*(20*((100+'General information'!$G$7+'General information'!$G$8+'General information'!$G$9)-'General information'!C11)))/1000</f>
        <v>0</v>
      </c>
      <c r="F8" s="70">
        <f>IF(ISERROR(100/D8),0,100/D8)</f>
        <v>0</v>
      </c>
      <c r="G8" s="70">
        <f>IFERROR(1/F8,0)</f>
        <v>0</v>
      </c>
      <c r="H8" s="70">
        <f>IF((G8*F8)&lt;1,G8*F8*G8,1)*IF(G8&lt;1,1,INT(G8))</f>
        <v>0</v>
      </c>
      <c r="I8" s="70">
        <f>IF(F8=1,C8*'General information'!$C$2,IF(F8&lt;0,(H8)*C8*'General information'!$C$2,(F8*H8)*C8*'General information'!$C$2))</f>
        <v>0</v>
      </c>
      <c r="J8" s="70">
        <f>80*H8</f>
        <v>0</v>
      </c>
      <c r="K8" s="70">
        <f>J8*Houses!$N$24</f>
        <v>0</v>
      </c>
      <c r="L8" s="70">
        <f>IFERROR((I8)/H8+IF(I8=0,0,K8/H8),0)</f>
        <v>0</v>
      </c>
      <c r="M8" s="69">
        <f>L8+IF(L8=0,0,$O$28)</f>
        <v>0</v>
      </c>
      <c r="N8" s="70">
        <f>($N$28-$O$28)*H8</f>
        <v>0</v>
      </c>
      <c r="O8" s="69">
        <f>(N8-(L8*H8))</f>
        <v>0</v>
      </c>
      <c r="P8" s="120">
        <f>IF(D8=0,0,(IF((ISERROR(($N$28-$O$28)/L8)),0,($N$28-$O$28)/L8)-1))</f>
        <v>0</v>
      </c>
      <c r="R8" s="44"/>
      <c r="Y8" s="71"/>
    </row>
    <row r="9" spans="1:25" x14ac:dyDescent="0.25">
      <c r="B9" s="72" t="s">
        <v>4</v>
      </c>
      <c r="C9" s="73"/>
      <c r="D9" s="70">
        <f>C9*(1.6666*((100+'General information'!$G$7+'General information'!$G$8+'General information'!$G$9)-'General information'!$C$12)/100)</f>
        <v>0</v>
      </c>
      <c r="E9" s="69">
        <f>(C9*(20*((100+'General information'!$G$7+'General information'!$G$8+'General information'!$G$9)-'General information'!C12)))/1000</f>
        <v>0</v>
      </c>
      <c r="F9" s="70">
        <f>IF(ISERROR(100/D9),0,100/D9)</f>
        <v>0</v>
      </c>
      <c r="G9" s="70">
        <f>IFERROR(1/F9,0)</f>
        <v>0</v>
      </c>
      <c r="H9" s="70">
        <f>IF((G9*F9)&lt;1,G9*F9*G9,1)*IF(G9&lt;1,1,INT(G9))</f>
        <v>0</v>
      </c>
      <c r="I9" s="70">
        <f>IF(F9=1,C9*'General information'!$C$2,IF(F9&lt;0,(H9)*C9*'General information'!$C$2,(F9*H9)*C9*'General information'!$C$2))</f>
        <v>0</v>
      </c>
      <c r="J9" s="70">
        <f>120*H9</f>
        <v>0</v>
      </c>
      <c r="K9" s="70">
        <f>J9*Houses!$N$24</f>
        <v>0</v>
      </c>
      <c r="L9" s="70">
        <f>IFERROR((I9)/H9+IF(I9=0,0,K9/H9),0)</f>
        <v>0</v>
      </c>
      <c r="M9" s="69">
        <f>L9+IF(L9=0,0,$O$29)</f>
        <v>0</v>
      </c>
      <c r="N9" s="70">
        <f>($N$29-$O$29)*H9</f>
        <v>0</v>
      </c>
      <c r="O9" s="69">
        <f>(N9-(L9*H9))</f>
        <v>0</v>
      </c>
      <c r="P9" s="120">
        <f>IF(D9=0,0,(IF((ISERROR(($N$29-$O$29)/L9)),0,($N$29-$O$29)/L9)-1))</f>
        <v>0</v>
      </c>
      <c r="R9" s="44"/>
      <c r="Y9" s="71"/>
    </row>
    <row r="10" spans="1:25" x14ac:dyDescent="0.25">
      <c r="B10" s="128" t="s">
        <v>10</v>
      </c>
      <c r="C10" s="129"/>
      <c r="D10" s="129"/>
      <c r="E10" s="76">
        <f>SUM(E5:E9)</f>
        <v>0</v>
      </c>
      <c r="F10" s="76"/>
      <c r="G10" s="76"/>
      <c r="H10" s="76"/>
      <c r="I10" s="76">
        <f>SUM(I5:I9)</f>
        <v>0</v>
      </c>
      <c r="J10" s="76">
        <f>SUM(J5:J9)</f>
        <v>0</v>
      </c>
      <c r="K10" s="76">
        <f>SUM(K5:K9)</f>
        <v>0</v>
      </c>
      <c r="L10" s="76">
        <f>(L5*H5+L6*H6+L7*H7+L8*H8+L9*H9)</f>
        <v>0</v>
      </c>
      <c r="M10" s="76"/>
      <c r="N10" s="76">
        <f>SUM(N5:N9)</f>
        <v>0</v>
      </c>
      <c r="O10" s="70">
        <f>SUM(O5:O9)</f>
        <v>0</v>
      </c>
      <c r="Q10" s="44"/>
      <c r="R10" s="44"/>
    </row>
    <row r="11" spans="1:25" ht="6" customHeight="1" thickBot="1" x14ac:dyDescent="0.3"/>
    <row r="12" spans="1:25" ht="21.75" thickBot="1" x14ac:dyDescent="0.3">
      <c r="B12" s="248" t="s">
        <v>15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44"/>
      <c r="R12" s="44"/>
    </row>
    <row r="13" spans="1:25" ht="15" customHeight="1" x14ac:dyDescent="0.25">
      <c r="B13" s="161" t="s">
        <v>29</v>
      </c>
      <c r="C13" s="236" t="s">
        <v>37</v>
      </c>
      <c r="D13" s="236" t="s">
        <v>38</v>
      </c>
      <c r="E13" s="236" t="s">
        <v>39</v>
      </c>
      <c r="F13" s="246" t="s">
        <v>40</v>
      </c>
      <c r="G13" s="246" t="s">
        <v>41</v>
      </c>
      <c r="H13" s="246" t="s">
        <v>42</v>
      </c>
      <c r="I13" s="240" t="s">
        <v>50</v>
      </c>
      <c r="J13" s="236" t="s">
        <v>43</v>
      </c>
      <c r="K13" s="236" t="s">
        <v>44</v>
      </c>
      <c r="L13" s="236" t="s">
        <v>45</v>
      </c>
      <c r="M13" s="236" t="s">
        <v>46</v>
      </c>
      <c r="N13" s="236" t="s">
        <v>47</v>
      </c>
      <c r="O13" s="236" t="s">
        <v>48</v>
      </c>
      <c r="P13" s="238" t="s">
        <v>49</v>
      </c>
      <c r="R13" s="44"/>
    </row>
    <row r="14" spans="1:25" ht="15.75" thickBot="1" x14ac:dyDescent="0.3">
      <c r="A14" s="44">
        <v>0</v>
      </c>
      <c r="B14" s="47" t="s">
        <v>36</v>
      </c>
      <c r="C14" s="237"/>
      <c r="D14" s="237"/>
      <c r="E14" s="237"/>
      <c r="F14" s="247"/>
      <c r="G14" s="247"/>
      <c r="H14" s="247"/>
      <c r="I14" s="241"/>
      <c r="J14" s="237"/>
      <c r="K14" s="237"/>
      <c r="L14" s="237"/>
      <c r="M14" s="237"/>
      <c r="N14" s="237"/>
      <c r="O14" s="237"/>
      <c r="P14" s="239"/>
      <c r="R14" s="44"/>
    </row>
    <row r="15" spans="1:25" x14ac:dyDescent="0.25">
      <c r="B15" s="67" t="s">
        <v>0</v>
      </c>
      <c r="C15" s="68"/>
      <c r="D15" s="69">
        <f>C15*(20*((100+'General information'!$H$7+'General information'!$H$8+'General information'!$H$9)-'General information'!$D$8)/100)</f>
        <v>0</v>
      </c>
      <c r="E15" s="69">
        <f>(C15*(20*((100+'General information'!$H$7+'General information'!$H$8+'General information'!$H$9)-'General information'!D8)))/1000</f>
        <v>0</v>
      </c>
      <c r="F15" s="69">
        <f>IF(ISERROR(100/D15),0,100/D15)</f>
        <v>0</v>
      </c>
      <c r="G15" s="69">
        <f>IFERROR(1/F15,0)</f>
        <v>0</v>
      </c>
      <c r="H15" s="69">
        <f>IF((G15*F15)&lt;1,G15*F15*G15,1)*IF(G15&lt;1,1,INT(G15))</f>
        <v>0</v>
      </c>
      <c r="I15" s="69">
        <f>IF(F15=1,C15*'General information'!$C$2,IF(F15&lt;0,(H15)*C15*'General information'!$C$2,(F15*H15)*C15*'General information'!$C$2))</f>
        <v>0</v>
      </c>
      <c r="J15" s="69">
        <f>10*H15</f>
        <v>0</v>
      </c>
      <c r="K15" s="69">
        <f>J15*Houses!$N$24</f>
        <v>0</v>
      </c>
      <c r="L15" s="69">
        <f>IFERROR((I15)/H15+IF(I15=0,0,K15/H15),0)</f>
        <v>0</v>
      </c>
      <c r="M15" s="69">
        <f>L15+IF(L15=0,0,O25)</f>
        <v>0</v>
      </c>
      <c r="N15" s="69">
        <f>($N$25-$O$25)*H15</f>
        <v>0</v>
      </c>
      <c r="O15" s="69">
        <f>(N15-(L15*H15))</f>
        <v>0</v>
      </c>
      <c r="P15" s="120">
        <f>IF(D15=0,0,(IF((ISERROR(($N$25-$O$25)/L15)),0,($N$25-$O$25)/L15)-1))</f>
        <v>0</v>
      </c>
    </row>
    <row r="16" spans="1:25" x14ac:dyDescent="0.25">
      <c r="B16" s="72" t="s">
        <v>1</v>
      </c>
      <c r="C16" s="73"/>
      <c r="D16" s="70">
        <f>C16*(10*((100+'General information'!$H$7+'General information'!$H$8+'General information'!$H$9)-'General information'!$D$9)/100)</f>
        <v>0</v>
      </c>
      <c r="E16" s="69">
        <f>(C16*(20*((100+'General information'!$H$7+'General information'!$H$8+'General information'!$H$9)-'General information'!D9)))/1000</f>
        <v>0</v>
      </c>
      <c r="F16" s="70">
        <f>IF(ISERROR(100/D16),0,100/D16)</f>
        <v>0</v>
      </c>
      <c r="G16" s="70">
        <f>IFERROR(1/F16,0)</f>
        <v>0</v>
      </c>
      <c r="H16" s="70">
        <f>IF((G16*F16)&lt;1,G16*F16*G16,1)*IF(G16&lt;1,1,INT(G16))</f>
        <v>0</v>
      </c>
      <c r="I16" s="70">
        <f>IF(F16=1,C16*'General information'!$C$2,IF(F16&lt;0,(H16)*C16*'General information'!$C$2,(F16*H16)*C16*'General information'!$C$2))</f>
        <v>0</v>
      </c>
      <c r="J16" s="70">
        <f>20*H16</f>
        <v>0</v>
      </c>
      <c r="K16" s="70">
        <f>J16*Houses!$N$24</f>
        <v>0</v>
      </c>
      <c r="L16" s="70">
        <f>IFERROR((I16)/H16+IF(I16=0,0,K16/H16),0)</f>
        <v>0</v>
      </c>
      <c r="M16" s="70">
        <f>L16+IF(L16=0,0,O25)</f>
        <v>0</v>
      </c>
      <c r="N16" s="70">
        <f>($N$26-$O$26)*H16</f>
        <v>0</v>
      </c>
      <c r="O16" s="69">
        <f>(N16-(L16*H16))</f>
        <v>0</v>
      </c>
      <c r="P16" s="120">
        <f>IF(D16=0,0,(IF((ISERROR(($N$26-$O$26)/L16)),0,($N$26-$O$26)/L16)-1))</f>
        <v>0</v>
      </c>
    </row>
    <row r="17" spans="1:21" x14ac:dyDescent="0.25">
      <c r="B17" s="72" t="s">
        <v>2</v>
      </c>
      <c r="C17" s="73"/>
      <c r="D17" s="70">
        <f>C17*(5*((100+'General information'!$H$7+'General information'!$H$8+'General information'!$H$9)-'General information'!$D$10)/100)</f>
        <v>0</v>
      </c>
      <c r="E17" s="69">
        <f>(C17*(20*((100+'General information'!$H$7+'General information'!$H$8+'General information'!$H$9)-'General information'!D10)))/1000</f>
        <v>0</v>
      </c>
      <c r="F17" s="70">
        <f>IF(ISERROR(100/D17),0,100/D17)</f>
        <v>0</v>
      </c>
      <c r="G17" s="70">
        <f>IFERROR(1/F17,0)</f>
        <v>0</v>
      </c>
      <c r="H17" s="70">
        <f>IF((G17*F17)&lt;1,G17*F17*G17,1)*IF(G17&lt;1,1,INT(G17))</f>
        <v>0</v>
      </c>
      <c r="I17" s="70">
        <f>IF(F17=1,C17*'General information'!$C$2,IF(F17&lt;0,(H17)*C17*'General information'!$C$2,(F17*H17)*C17*'General information'!$C$2))</f>
        <v>0</v>
      </c>
      <c r="J17" s="70">
        <f>40*H17</f>
        <v>0</v>
      </c>
      <c r="K17" s="70">
        <f>J17*Houses!$N$24</f>
        <v>0</v>
      </c>
      <c r="L17" s="70">
        <f>IFERROR((I17)/H17+IF(I17=0,0,K17/H17),0)</f>
        <v>0</v>
      </c>
      <c r="M17" s="70">
        <f>L17+IF(L17=0,0,N27)</f>
        <v>0</v>
      </c>
      <c r="N17" s="70">
        <f>($N$27-$O$27)*H17</f>
        <v>0</v>
      </c>
      <c r="O17" s="69">
        <f>(N17-(L17*H17))</f>
        <v>0</v>
      </c>
      <c r="P17" s="120">
        <f>IF(D17=0,0,(IF((ISERROR(($N$27-$O$27)/L17)),0,($N$27-$O$27)/L17)-1))</f>
        <v>0</v>
      </c>
    </row>
    <row r="18" spans="1:21" x14ac:dyDescent="0.25">
      <c r="B18" s="72" t="s">
        <v>3</v>
      </c>
      <c r="C18" s="73"/>
      <c r="D18" s="70">
        <f>C18*(2.5*((100+'General information'!$H$7+'General information'!$H$8+'General information'!$H$9)-'General information'!$D$11)/100)</f>
        <v>0</v>
      </c>
      <c r="E18" s="69">
        <f>(C18*(20*((100+'General information'!$H$7+'General information'!$H$8+'General information'!$H$9)-'General information'!D11)))/1000</f>
        <v>0</v>
      </c>
      <c r="F18" s="70">
        <f>IF(ISERROR(100/D18),0,100/D18)</f>
        <v>0</v>
      </c>
      <c r="G18" s="70">
        <f>IFERROR(1/F18,0)</f>
        <v>0</v>
      </c>
      <c r="H18" s="70">
        <f>IF((G18*F18)&lt;1,G18*F18*G18,1)*IF(G18&lt;1,1,INT(G18))</f>
        <v>0</v>
      </c>
      <c r="I18" s="70">
        <f>IF(F18=1,C18*'General information'!$C$2,IF(F18&lt;0,(H18)*C18*'General information'!$C$2,(F18*H18)*C18*'General information'!$C$2))</f>
        <v>0</v>
      </c>
      <c r="J18" s="70">
        <f>80*H18</f>
        <v>0</v>
      </c>
      <c r="K18" s="70">
        <f>J18*Houses!$N$24</f>
        <v>0</v>
      </c>
      <c r="L18" s="70">
        <f>IFERROR((I18)/H18+IF(I18=0,0,K18/H18),0)</f>
        <v>0</v>
      </c>
      <c r="M18" s="70">
        <f>L18+IF(L18=0,0,N28)</f>
        <v>0</v>
      </c>
      <c r="N18" s="70">
        <f>($N$28-$O$28)*H18</f>
        <v>0</v>
      </c>
      <c r="O18" s="69">
        <f>(N18-(L18*H18))</f>
        <v>0</v>
      </c>
      <c r="P18" s="120">
        <f>IF(D18=0,0,(IF((ISERROR(($N$28-$O$28)/L18)),0,($N$28-$O$28)/L18)-1))</f>
        <v>0</v>
      </c>
    </row>
    <row r="19" spans="1:21" x14ac:dyDescent="0.25">
      <c r="B19" s="72" t="s">
        <v>4</v>
      </c>
      <c r="C19" s="73"/>
      <c r="D19" s="70">
        <f>C19*(1.6666*((100+'General information'!$H$7+'General information'!$H$8+'General information'!$H$9)-'General information'!$D$12)/100)</f>
        <v>0</v>
      </c>
      <c r="E19" s="69">
        <f>(C19*(20*((100+'General information'!$H$7+'General information'!$H$8+'General information'!$H$9)-'General information'!D12)))/1000</f>
        <v>0</v>
      </c>
      <c r="F19" s="70">
        <f>IF(ISERROR(100/D19),0,100/D19)</f>
        <v>0</v>
      </c>
      <c r="G19" s="70">
        <f>IFERROR(1/F19,0)</f>
        <v>0</v>
      </c>
      <c r="H19" s="70">
        <f>IF((G19*F19)&lt;1,G19*F19*G19,1)*IF(G19&lt;1,1,INT(G19))</f>
        <v>0</v>
      </c>
      <c r="I19" s="70">
        <f>IF(F19=1,C19*'General information'!$C$2,IF(F19&lt;0,(H19)*C19*'General information'!$C$2,(F19*H19)*C19*'General information'!$C$2))</f>
        <v>0</v>
      </c>
      <c r="J19" s="70">
        <f>120*H19</f>
        <v>0</v>
      </c>
      <c r="K19" s="70">
        <f>J19*Houses!$N$24</f>
        <v>0</v>
      </c>
      <c r="L19" s="70">
        <f>IFERROR((I19)/H19+IF(I19=0,0,K19/H19),0)</f>
        <v>0</v>
      </c>
      <c r="M19" s="70">
        <f>L19+IF(L19=0,0,O29)</f>
        <v>0</v>
      </c>
      <c r="N19" s="70">
        <f>($N$29-$O$29)*H19</f>
        <v>0</v>
      </c>
      <c r="O19" s="69">
        <f>(N19-(L19*H19))</f>
        <v>0</v>
      </c>
      <c r="P19" s="120">
        <f>IF(D19=0,0,(IF((ISERROR(($N$29-$O$29)/L19)),0,($N$29-$O$29)/L19)-1))</f>
        <v>0</v>
      </c>
    </row>
    <row r="20" spans="1:21" x14ac:dyDescent="0.25">
      <c r="B20" s="128" t="s">
        <v>10</v>
      </c>
      <c r="C20" s="129"/>
      <c r="D20" s="129"/>
      <c r="E20" s="76">
        <f>SUM(E15:E19)</f>
        <v>0</v>
      </c>
      <c r="F20" s="76"/>
      <c r="G20" s="76"/>
      <c r="H20" s="76"/>
      <c r="I20" s="76">
        <f>SUM(I15:I19)</f>
        <v>0</v>
      </c>
      <c r="J20" s="76">
        <f>SUM(J15:J19)</f>
        <v>0</v>
      </c>
      <c r="K20" s="76">
        <f>SUM(K15:K19)</f>
        <v>0</v>
      </c>
      <c r="L20" s="76">
        <f>(L15*H15+L16*H16+L17*H17+L18*H18+L19*H19)</f>
        <v>0</v>
      </c>
      <c r="M20" s="76"/>
      <c r="N20" s="76">
        <f>SUM(N15:N19)</f>
        <v>0</v>
      </c>
      <c r="O20" s="70">
        <f>SUM(O15:O19)</f>
        <v>0</v>
      </c>
      <c r="Q20" s="44"/>
    </row>
    <row r="21" spans="1:21" s="66" customFormat="1" ht="6" customHeight="1" thickBot="1" x14ac:dyDescent="0.3">
      <c r="A21" s="44"/>
      <c r="B21" s="44"/>
      <c r="C21" s="44"/>
      <c r="F21" s="44"/>
      <c r="G21" s="44"/>
      <c r="H21" s="44"/>
      <c r="I21" s="44"/>
      <c r="J21" s="44"/>
      <c r="K21" s="44"/>
      <c r="L21" s="44"/>
      <c r="M21" s="44"/>
      <c r="N21" s="44"/>
      <c r="Q21" s="78"/>
    </row>
    <row r="22" spans="1:21" ht="21.75" thickBot="1" x14ac:dyDescent="0.3">
      <c r="B22" s="253" t="s">
        <v>14</v>
      </c>
      <c r="C22" s="253"/>
      <c r="D22" s="253"/>
      <c r="E22" s="253"/>
      <c r="F22" s="253"/>
      <c r="G22" s="253"/>
      <c r="H22" s="253"/>
      <c r="I22" s="253"/>
      <c r="J22" s="253"/>
      <c r="K22" s="253"/>
      <c r="M22" s="250" t="s">
        <v>54</v>
      </c>
      <c r="N22" s="251"/>
      <c r="O22" s="251"/>
      <c r="P22" s="251"/>
      <c r="Q22" s="251"/>
      <c r="R22" s="251"/>
      <c r="S22" s="252"/>
    </row>
    <row r="23" spans="1:21" ht="15.75" customHeight="1" thickBot="1" x14ac:dyDescent="0.3">
      <c r="B23" s="46" t="s">
        <v>25</v>
      </c>
      <c r="C23" s="236" t="s">
        <v>37</v>
      </c>
      <c r="D23" s="236" t="s">
        <v>38</v>
      </c>
      <c r="E23" s="240" t="s">
        <v>50</v>
      </c>
      <c r="F23" s="236" t="s">
        <v>51</v>
      </c>
      <c r="G23" s="242" t="s">
        <v>52</v>
      </c>
      <c r="I23" s="236" t="s">
        <v>47</v>
      </c>
      <c r="J23" s="236" t="s">
        <v>48</v>
      </c>
      <c r="K23" s="238" t="s">
        <v>53</v>
      </c>
      <c r="M23" s="47" t="s">
        <v>36</v>
      </c>
      <c r="N23" s="153" t="s">
        <v>55</v>
      </c>
      <c r="O23" s="187" t="s">
        <v>34</v>
      </c>
      <c r="P23" s="153" t="s">
        <v>56</v>
      </c>
      <c r="Q23" s="153" t="s">
        <v>57</v>
      </c>
      <c r="R23" s="153" t="s">
        <v>58</v>
      </c>
      <c r="S23" s="89" t="s">
        <v>59</v>
      </c>
    </row>
    <row r="24" spans="1:21" ht="15.75" thickBot="1" x14ac:dyDescent="0.3">
      <c r="B24" s="47" t="s">
        <v>36</v>
      </c>
      <c r="C24" s="237"/>
      <c r="D24" s="237"/>
      <c r="E24" s="241"/>
      <c r="F24" s="237"/>
      <c r="G24" s="243"/>
      <c r="I24" s="237"/>
      <c r="J24" s="237"/>
      <c r="K24" s="239"/>
      <c r="M24" s="79" t="s">
        <v>8</v>
      </c>
      <c r="N24" s="45"/>
      <c r="O24" s="66">
        <f>IF(D30=0,0,(($N$24*'General information'!$H$14%)))</f>
        <v>0</v>
      </c>
      <c r="P24" s="45"/>
      <c r="Q24" s="80">
        <f t="shared" ref="Q24:Q29" si="0">N24*P24</f>
        <v>0</v>
      </c>
      <c r="R24" s="81">
        <f>IF(P24=0,0,(($N$24*'General information'!$H$14%)*P24))</f>
        <v>0</v>
      </c>
      <c r="S24" s="82">
        <f t="shared" ref="S24:S29" si="1">Q24-R24</f>
        <v>0</v>
      </c>
    </row>
    <row r="25" spans="1:21" x14ac:dyDescent="0.25">
      <c r="B25" s="83" t="s">
        <v>0</v>
      </c>
      <c r="C25" s="68"/>
      <c r="D25" s="69">
        <f>((35*((100+'General information'!$G$7+'General information'!$G$8+'General information'!$G$9)-'General information'!$C$7)/100)*C25)/100</f>
        <v>0</v>
      </c>
      <c r="E25" s="69">
        <f>C25*'General information'!$C$2</f>
        <v>0</v>
      </c>
      <c r="F25" s="69">
        <f t="shared" ref="F25:F30" si="2">IF(ISERROR(E25/D25),0,E25/D25)</f>
        <v>0</v>
      </c>
      <c r="G25" s="69">
        <f>IF(D25=0,0,(($N$24*'General information'!$H$14%)*D25))</f>
        <v>0</v>
      </c>
      <c r="I25" s="69">
        <f>D25*(Houses!$N$24-$O$24)</f>
        <v>0</v>
      </c>
      <c r="J25" s="77">
        <f>I25-E25</f>
        <v>0</v>
      </c>
      <c r="K25" s="120">
        <f>IF(D25=0,0,(IF((ISERROR(($N$24-$O$24)/F25)),0,($N$24-$O$24)/F25)-1))</f>
        <v>0</v>
      </c>
      <c r="M25" s="79" t="s">
        <v>0</v>
      </c>
      <c r="N25" s="45"/>
      <c r="O25" s="66">
        <f>(N25*'General information'!$H$13%)+(N25*'General information'!$H$14%)</f>
        <v>0</v>
      </c>
      <c r="P25" s="45"/>
      <c r="Q25" s="81">
        <f t="shared" si="0"/>
        <v>0</v>
      </c>
      <c r="R25" s="81">
        <f>((N25*'General information'!$H$13%)+(N25*'General information'!$H$14%))*P25</f>
        <v>0</v>
      </c>
      <c r="S25" s="82">
        <f t="shared" si="1"/>
        <v>0</v>
      </c>
    </row>
    <row r="26" spans="1:21" x14ac:dyDescent="0.25">
      <c r="B26" s="84" t="s">
        <v>1</v>
      </c>
      <c r="C26" s="74"/>
      <c r="D26" s="70">
        <f>((70*((100+'General information'!$G$7+'General information'!$G$8+'General information'!$G$9)-'General information'!$C$7)/100)*C26)/100</f>
        <v>0</v>
      </c>
      <c r="E26" s="70">
        <f>C26*'General information'!$C$2</f>
        <v>0</v>
      </c>
      <c r="F26" s="70">
        <f t="shared" si="2"/>
        <v>0</v>
      </c>
      <c r="G26" s="69">
        <f>IF(D26=0,0,(($N$24*'General information'!$H$14%)*D26))</f>
        <v>0</v>
      </c>
      <c r="I26" s="69">
        <f>D26*(Houses!$N$24-$O$24)</f>
        <v>0</v>
      </c>
      <c r="J26" s="77">
        <f>I26-E26</f>
        <v>0</v>
      </c>
      <c r="K26" s="120">
        <f>IF(D26=0,0,(IF((ISERROR(($N$24-$O$24)/F26)),0,($N$24-$O$24)/F26)-1))</f>
        <v>0</v>
      </c>
      <c r="M26" s="79" t="s">
        <v>1</v>
      </c>
      <c r="N26" s="45"/>
      <c r="O26" s="66">
        <f>(N26*'General information'!$H$13%)+(N26*'General information'!$H$14%)</f>
        <v>0</v>
      </c>
      <c r="P26" s="45"/>
      <c r="Q26" s="81">
        <f t="shared" si="0"/>
        <v>0</v>
      </c>
      <c r="R26" s="81">
        <f>((N26*'General information'!$H$13%)+(N26*'General information'!$H$14%))*P26</f>
        <v>0</v>
      </c>
      <c r="S26" s="82">
        <f t="shared" si="1"/>
        <v>0</v>
      </c>
    </row>
    <row r="27" spans="1:21" x14ac:dyDescent="0.25">
      <c r="B27" s="84" t="s">
        <v>2</v>
      </c>
      <c r="C27" s="74"/>
      <c r="D27" s="70">
        <f>((125*((100+'General information'!$G$7+'General information'!$G$8+'General information'!$G$9)-'General information'!$C$7)/100)*C27)/100</f>
        <v>0</v>
      </c>
      <c r="E27" s="70">
        <f>C27*'General information'!$C$2</f>
        <v>0</v>
      </c>
      <c r="F27" s="70">
        <f t="shared" si="2"/>
        <v>0</v>
      </c>
      <c r="G27" s="69">
        <f>IF(D27=0,0,(($N$24*'General information'!$H$14%)*D27))</f>
        <v>0</v>
      </c>
      <c r="I27" s="69">
        <f>D27*(Houses!$N$24-$O$24)</f>
        <v>0</v>
      </c>
      <c r="J27" s="77">
        <f>I27-E27</f>
        <v>0</v>
      </c>
      <c r="K27" s="120">
        <f>IF(D27=0,0,(IF((ISERROR(($N$24-$O$24)/F27)),0,($N$24-$O$24)/F27)-1))</f>
        <v>0</v>
      </c>
      <c r="M27" s="79" t="s">
        <v>2</v>
      </c>
      <c r="N27" s="45"/>
      <c r="O27" s="66">
        <f>(N27*'General information'!$H$13%)+(N27*'General information'!$H$14%)</f>
        <v>0</v>
      </c>
      <c r="P27" s="45"/>
      <c r="Q27" s="81">
        <f t="shared" si="0"/>
        <v>0</v>
      </c>
      <c r="R27" s="81">
        <f>((N27*'General information'!$H$13%)+(N27*'General information'!$H$14%))*P27</f>
        <v>0</v>
      </c>
      <c r="S27" s="82">
        <f t="shared" si="1"/>
        <v>0</v>
      </c>
    </row>
    <row r="28" spans="1:21" x14ac:dyDescent="0.25">
      <c r="B28" s="84" t="s">
        <v>3</v>
      </c>
      <c r="C28" s="74"/>
      <c r="D28" s="70">
        <f>((175*((100+'General information'!$G$7+'General information'!$G$8+'General information'!$G$9)-'General information'!$C$7)/100)*C28)/100</f>
        <v>0</v>
      </c>
      <c r="E28" s="70">
        <f>C28*'General information'!$C$2</f>
        <v>0</v>
      </c>
      <c r="F28" s="70">
        <f t="shared" si="2"/>
        <v>0</v>
      </c>
      <c r="G28" s="69">
        <f>IF(D28=0,0,(($N$24*'General information'!$H$14%)*D28))</f>
        <v>0</v>
      </c>
      <c r="I28" s="69">
        <f>D28*(Houses!$N$24-$O$24)</f>
        <v>0</v>
      </c>
      <c r="J28" s="77">
        <f>I28-E28</f>
        <v>0</v>
      </c>
      <c r="K28" s="120">
        <f>IF(D28=0,0,(IF((ISERROR(($N$24-$O$24)/F28)),0,($N$24-$O$24)/F28)-1))</f>
        <v>0</v>
      </c>
      <c r="M28" s="79" t="s">
        <v>3</v>
      </c>
      <c r="N28" s="45"/>
      <c r="O28" s="66">
        <f>(N28*'General information'!$H$13%)+(N28*'General information'!$H$14%)</f>
        <v>0</v>
      </c>
      <c r="P28" s="45"/>
      <c r="Q28" s="81">
        <f t="shared" si="0"/>
        <v>0</v>
      </c>
      <c r="R28" s="81">
        <f>((N28*'General information'!$H$13%)+(N28*'General information'!$H$14%))*P28</f>
        <v>0</v>
      </c>
      <c r="S28" s="82">
        <f t="shared" si="1"/>
        <v>0</v>
      </c>
    </row>
    <row r="29" spans="1:21" x14ac:dyDescent="0.25">
      <c r="B29" s="85" t="s">
        <v>4</v>
      </c>
      <c r="C29" s="74"/>
      <c r="D29" s="70">
        <f>((250*((100+'General information'!$G$7+'General information'!$G$8+'General information'!$G$9)-'General information'!$C$7)/100)*C29)/100</f>
        <v>0</v>
      </c>
      <c r="E29" s="70">
        <f>C29*'General information'!$C$2</f>
        <v>0</v>
      </c>
      <c r="F29" s="70">
        <f t="shared" si="2"/>
        <v>0</v>
      </c>
      <c r="G29" s="69">
        <f>IF(D29=0,0,(($N$24*'General information'!$H$14%)*D29))</f>
        <v>0</v>
      </c>
      <c r="I29" s="69">
        <f>D29*(Houses!$N$24-$O$24)</f>
        <v>0</v>
      </c>
      <c r="J29" s="77">
        <f>I29-E29</f>
        <v>0</v>
      </c>
      <c r="K29" s="120">
        <f>IF(D29=0,0,(IF((ISERROR(($N$24-$O$24)/F29)),0,($N$24-$O$24)/F29)-1))</f>
        <v>0</v>
      </c>
      <c r="M29" s="79" t="s">
        <v>4</v>
      </c>
      <c r="N29" s="45"/>
      <c r="O29" s="66">
        <f>(N29*'General information'!$H$13%)+(N29*'General information'!$H$14%)</f>
        <v>0</v>
      </c>
      <c r="P29" s="45"/>
      <c r="Q29" s="81">
        <f t="shared" si="0"/>
        <v>0</v>
      </c>
      <c r="R29" s="81">
        <f>((N29*'General information'!$H$13%)+(N29*'General information'!$H$14%))*P29</f>
        <v>0</v>
      </c>
      <c r="S29" s="82">
        <f t="shared" si="1"/>
        <v>0</v>
      </c>
    </row>
    <row r="30" spans="1:21" ht="15.75" thickBot="1" x14ac:dyDescent="0.3">
      <c r="B30" s="162" t="s">
        <v>10</v>
      </c>
      <c r="C30" s="65" t="s">
        <v>13</v>
      </c>
      <c r="D30" s="86">
        <f>SUM(D25:D29)</f>
        <v>0</v>
      </c>
      <c r="E30" s="86">
        <f>SUM(E25:E29)</f>
        <v>0</v>
      </c>
      <c r="F30" s="86">
        <f t="shared" si="2"/>
        <v>0</v>
      </c>
      <c r="G30" s="86">
        <f>SUM(G25:G29)</f>
        <v>0</v>
      </c>
      <c r="I30" s="86">
        <f>SUM(I25:I29)</f>
        <v>0</v>
      </c>
      <c r="J30" s="87">
        <f>SUM(J25:J29)</f>
        <v>0</v>
      </c>
      <c r="M30" s="64"/>
      <c r="N30" s="55"/>
      <c r="O30" s="7">
        <f>SUM(O24:O29)</f>
        <v>0</v>
      </c>
      <c r="P30" s="55"/>
      <c r="Q30" s="88">
        <f>SUM(Q24:Q29)</f>
        <v>0</v>
      </c>
      <c r="R30" s="89">
        <f>SUM(R24:R29)</f>
        <v>0</v>
      </c>
      <c r="S30" s="89">
        <f>SUM(S24:S29)</f>
        <v>0</v>
      </c>
    </row>
    <row r="31" spans="1:21" ht="6" customHeight="1" thickBot="1" x14ac:dyDescent="0.3">
      <c r="U31" s="66"/>
    </row>
    <row r="32" spans="1:21" ht="21.75" thickBot="1" x14ac:dyDescent="0.3">
      <c r="B32" s="244" t="s">
        <v>15</v>
      </c>
      <c r="C32" s="245"/>
      <c r="D32" s="245"/>
      <c r="E32" s="245"/>
      <c r="F32" s="245"/>
      <c r="G32" s="245"/>
      <c r="H32" s="245"/>
      <c r="I32" s="245"/>
      <c r="J32" s="245"/>
      <c r="K32" s="245"/>
      <c r="M32"/>
      <c r="N32" s="314" t="s">
        <v>8</v>
      </c>
      <c r="O32" s="223" t="s">
        <v>60</v>
      </c>
      <c r="P32" s="315" t="s">
        <v>61</v>
      </c>
    </row>
    <row r="33" spans="2:33" ht="15" customHeight="1" x14ac:dyDescent="0.25">
      <c r="B33" s="46" t="s">
        <v>25</v>
      </c>
      <c r="C33" s="236" t="s">
        <v>37</v>
      </c>
      <c r="D33" s="236" t="s">
        <v>38</v>
      </c>
      <c r="E33" s="240" t="s">
        <v>50</v>
      </c>
      <c r="F33" s="236" t="s">
        <v>51</v>
      </c>
      <c r="G33" s="242" t="s">
        <v>52</v>
      </c>
      <c r="I33" s="236" t="s">
        <v>47</v>
      </c>
      <c r="J33" s="236" t="s">
        <v>48</v>
      </c>
      <c r="K33" s="238" t="s">
        <v>53</v>
      </c>
      <c r="M33" s="46" t="s">
        <v>38</v>
      </c>
      <c r="N33" s="307">
        <f>D30+D40</f>
        <v>0</v>
      </c>
      <c r="O33" s="308">
        <f>N33*((F30+F40)/2)</f>
        <v>0</v>
      </c>
      <c r="P33" s="309">
        <f>IF(ISERROR(O33/N33),0,O33/N33)</f>
        <v>0</v>
      </c>
    </row>
    <row r="34" spans="2:33" ht="15.75" thickBot="1" x14ac:dyDescent="0.3">
      <c r="B34" s="47" t="s">
        <v>36</v>
      </c>
      <c r="C34" s="237"/>
      <c r="D34" s="237"/>
      <c r="E34" s="241"/>
      <c r="F34" s="237"/>
      <c r="G34" s="243"/>
      <c r="I34" s="237"/>
      <c r="J34" s="237"/>
      <c r="K34" s="239"/>
      <c r="M34" s="47" t="s">
        <v>63</v>
      </c>
      <c r="N34" s="316">
        <f>IF(N35&gt;N33,N35-N33,0)</f>
        <v>0</v>
      </c>
      <c r="O34" s="2">
        <f>N24*N34</f>
        <v>0</v>
      </c>
      <c r="P34" s="13">
        <f>IF(ISERROR(O34/N34),0,O34/N34)</f>
        <v>0</v>
      </c>
    </row>
    <row r="35" spans="2:33" ht="15.75" thickBot="1" x14ac:dyDescent="0.3">
      <c r="B35" s="83" t="s">
        <v>0</v>
      </c>
      <c r="C35" s="68"/>
      <c r="D35" s="69">
        <f>((35*((100+'General information'!$H$7+'General information'!$H$8+'General information'!$H$9)-'General information'!D7)/100)*C35)/100</f>
        <v>0</v>
      </c>
      <c r="E35" s="69">
        <f>C35*'General information'!$C$2</f>
        <v>0</v>
      </c>
      <c r="F35" s="69">
        <f t="shared" ref="F35:F40" si="3">IF(ISERROR(E35/D35),0,E35/D35)</f>
        <v>0</v>
      </c>
      <c r="G35" s="69">
        <f>IF(D35=0,0,(($N$24*'General information'!$H$14%)*D35))</f>
        <v>0</v>
      </c>
      <c r="I35" s="69">
        <f>D35*Houses!$N$24</f>
        <v>0</v>
      </c>
      <c r="J35" s="69">
        <f>I35-(E35+G35)</f>
        <v>0</v>
      </c>
      <c r="K35" s="120">
        <f>IF(D35=0,0,(IF((ISERROR(($N$24-$O$24)/F35)),0,($N$24-$O$24)/F35)-1))</f>
        <v>0</v>
      </c>
      <c r="M35" s="313" t="s">
        <v>62</v>
      </c>
      <c r="N35" s="311">
        <f>E10+E20</f>
        <v>0</v>
      </c>
      <c r="O35" s="10">
        <f>O33+O34</f>
        <v>0</v>
      </c>
      <c r="P35" s="15">
        <f>IF(N35&gt;N33,((N33/N35*P33)+(N34/N35*P34)),P33)</f>
        <v>0</v>
      </c>
      <c r="AG35" s="66"/>
    </row>
    <row r="36" spans="2:33" ht="15.75" thickBot="1" x14ac:dyDescent="0.3">
      <c r="B36" s="84" t="s">
        <v>1</v>
      </c>
      <c r="C36" s="74"/>
      <c r="D36" s="70">
        <f>((70*((100+'General information'!$H$7+'General information'!$H$8+'General information'!$H$9)-'General information'!D7)/100)*C36)/100</f>
        <v>0</v>
      </c>
      <c r="E36" s="70">
        <f>C36*'General information'!$C$2</f>
        <v>0</v>
      </c>
      <c r="F36" s="70">
        <f t="shared" si="3"/>
        <v>0</v>
      </c>
      <c r="G36" s="69">
        <f>IF(D36=0,0,(($N$24*'General information'!$H$14%)*D36))</f>
        <v>0</v>
      </c>
      <c r="I36" s="70">
        <f>D36*Houses!$N$24</f>
        <v>0</v>
      </c>
      <c r="J36" s="69">
        <f>I36-(E36+G36)</f>
        <v>0</v>
      </c>
      <c r="K36" s="120">
        <f>IF(D36=0,0,(IF((ISERROR(($N$24-$O$24)/F36)),0,($N$24-$O$24)/F36)-1))</f>
        <v>0</v>
      </c>
      <c r="M36" s="158" t="s">
        <v>64</v>
      </c>
      <c r="N36" s="306">
        <f>N33-N35</f>
        <v>0</v>
      </c>
      <c r="O36"/>
      <c r="P36"/>
    </row>
    <row r="37" spans="2:33" x14ac:dyDescent="0.25">
      <c r="B37" s="84" t="s">
        <v>2</v>
      </c>
      <c r="C37" s="74"/>
      <c r="D37" s="70">
        <f>((125*((100+'General information'!$H$7+'General information'!$H$8+'General information'!$H$9)-'General information'!D7)/100)*C37)/100</f>
        <v>0</v>
      </c>
      <c r="E37" s="70">
        <f>C37*'General information'!$C$2</f>
        <v>0</v>
      </c>
      <c r="F37" s="70">
        <f t="shared" si="3"/>
        <v>0</v>
      </c>
      <c r="G37" s="69">
        <f>IF(D37=0,0,(($N$24*'General information'!$H$14%)*D37))</f>
        <v>0</v>
      </c>
      <c r="I37" s="70">
        <f>D37*Houses!$N$24</f>
        <v>0</v>
      </c>
      <c r="J37" s="69">
        <f>I37-(E37+G37)</f>
        <v>0</v>
      </c>
      <c r="K37" s="120">
        <f>IF(D37=0,0,(IF((ISERROR(($N$24-$O$24)/F37)),0,($N$24-$O$24)/F37)-1))</f>
        <v>0</v>
      </c>
    </row>
    <row r="38" spans="2:33" x14ac:dyDescent="0.25">
      <c r="B38" s="84" t="s">
        <v>3</v>
      </c>
      <c r="C38" s="74"/>
      <c r="D38" s="70">
        <f>((175*((100+'General information'!$H$7+'General information'!$H$8+'General information'!$H$9)-'General information'!D7)/100)*C38)/100</f>
        <v>0</v>
      </c>
      <c r="E38" s="70">
        <f>C38*'General information'!$C$2</f>
        <v>0</v>
      </c>
      <c r="F38" s="70">
        <f t="shared" si="3"/>
        <v>0</v>
      </c>
      <c r="G38" s="69">
        <f>IF(D38=0,0,(($N$24*'General information'!$H$14%)*D38))</f>
        <v>0</v>
      </c>
      <c r="I38" s="70">
        <f>D38*Houses!$N$24</f>
        <v>0</v>
      </c>
      <c r="J38" s="69">
        <f>I38-(E38+G38)</f>
        <v>0</v>
      </c>
      <c r="K38" s="120">
        <f>IF(D38=0,0,(IF((ISERROR(($N$24-$O$24)/F38)),0,($N$24-$O$24)/F38)-1))</f>
        <v>0</v>
      </c>
    </row>
    <row r="39" spans="2:33" x14ac:dyDescent="0.25">
      <c r="B39" s="85" t="s">
        <v>4</v>
      </c>
      <c r="C39" s="74"/>
      <c r="D39" s="70">
        <f>((250*((100+'General information'!$H$7+'General information'!$H$8+'General information'!$H$9)-'General information'!D7)/100)*C39)/100</f>
        <v>0</v>
      </c>
      <c r="E39" s="70">
        <f>C39*'General information'!$C$2</f>
        <v>0</v>
      </c>
      <c r="F39" s="70">
        <f t="shared" si="3"/>
        <v>0</v>
      </c>
      <c r="G39" s="69">
        <f>IF(D39=0,0,(($N$24*'General information'!$H$14%)*D39))</f>
        <v>0</v>
      </c>
      <c r="I39" s="70">
        <f>D39*Houses!$N$24</f>
        <v>0</v>
      </c>
      <c r="J39" s="69">
        <f>I39-(E39+G39)</f>
        <v>0</v>
      </c>
      <c r="K39" s="120">
        <f>IF(D39=0,0,(IF((ISERROR(($N$24-$O$24)/F39)),0,($N$24-$O$24)/F39)-1))</f>
        <v>0</v>
      </c>
    </row>
    <row r="40" spans="2:33" ht="15.75" thickBot="1" x14ac:dyDescent="0.3">
      <c r="B40" s="162" t="s">
        <v>10</v>
      </c>
      <c r="C40" s="65" t="s">
        <v>13</v>
      </c>
      <c r="D40" s="86">
        <f>SUM(D35:D39)</f>
        <v>0</v>
      </c>
      <c r="E40" s="86">
        <f>SUM(E35:E39)</f>
        <v>0</v>
      </c>
      <c r="F40" s="86">
        <f t="shared" si="3"/>
        <v>0</v>
      </c>
      <c r="G40" s="86">
        <f>IF(ISERROR(F40/E40),0,F40/E40)</f>
        <v>0</v>
      </c>
      <c r="I40" s="86">
        <f>SUM(I35:I39)</f>
        <v>0</v>
      </c>
      <c r="J40" s="87">
        <f>SUM(J35:J39)</f>
        <v>0</v>
      </c>
    </row>
  </sheetData>
  <sheetProtection sheet="1" formatCells="0" formatColumns="0" formatRows="0"/>
  <mergeCells count="49">
    <mergeCell ref="B2:P2"/>
    <mergeCell ref="B12:P12"/>
    <mergeCell ref="M22:S22"/>
    <mergeCell ref="B22:K22"/>
    <mergeCell ref="E3:E4"/>
    <mergeCell ref="F3:F4"/>
    <mergeCell ref="C13:C14"/>
    <mergeCell ref="D13:D14"/>
    <mergeCell ref="E13:E14"/>
    <mergeCell ref="N13:N14"/>
    <mergeCell ref="G3:G4"/>
    <mergeCell ref="N3:N4"/>
    <mergeCell ref="J3:J4"/>
    <mergeCell ref="K3:K4"/>
    <mergeCell ref="L3:L4"/>
    <mergeCell ref="M3:M4"/>
    <mergeCell ref="B32:K32"/>
    <mergeCell ref="C23:C24"/>
    <mergeCell ref="D23:D24"/>
    <mergeCell ref="E23:E24"/>
    <mergeCell ref="H3:H4"/>
    <mergeCell ref="C3:C4"/>
    <mergeCell ref="D3:D4"/>
    <mergeCell ref="F13:F14"/>
    <mergeCell ref="G13:G14"/>
    <mergeCell ref="H13:H14"/>
    <mergeCell ref="I13:I14"/>
    <mergeCell ref="J13:J14"/>
    <mergeCell ref="O13:O14"/>
    <mergeCell ref="P13:P14"/>
    <mergeCell ref="K13:K14"/>
    <mergeCell ref="L13:L14"/>
    <mergeCell ref="M13:M14"/>
    <mergeCell ref="O3:O4"/>
    <mergeCell ref="P3:P4"/>
    <mergeCell ref="I3:I4"/>
    <mergeCell ref="G23:G24"/>
    <mergeCell ref="C33:C34"/>
    <mergeCell ref="D33:D34"/>
    <mergeCell ref="E33:E34"/>
    <mergeCell ref="F33:F34"/>
    <mergeCell ref="G33:G34"/>
    <mergeCell ref="F23:F24"/>
    <mergeCell ref="I33:I34"/>
    <mergeCell ref="J33:J34"/>
    <mergeCell ref="K33:K34"/>
    <mergeCell ref="I23:I24"/>
    <mergeCell ref="J23:J24"/>
    <mergeCell ref="K23:K24"/>
  </mergeCells>
  <conditionalFormatting sqref="J25:J30">
    <cfRule type="colorScale" priority="24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0">
    <cfRule type="colorScale" priority="22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5:J40">
    <cfRule type="colorScale" priority="10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9">
    <cfRule type="colorScale" priority="9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5">
    <cfRule type="colorScale" priority="9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6">
    <cfRule type="colorScale" priority="7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7">
    <cfRule type="colorScale" priority="7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8">
    <cfRule type="colorScale" priority="7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9">
    <cfRule type="colorScale" priority="7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8">
    <cfRule type="colorScale" priority="6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7">
    <cfRule type="colorScale" priority="6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6">
    <cfRule type="colorScale" priority="6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5">
    <cfRule type="colorScale" priority="6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0">
    <cfRule type="colorScale" priority="6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9">
    <cfRule type="colorScale" priority="6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8">
    <cfRule type="colorScale" priority="6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7">
    <cfRule type="colorScale" priority="6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6">
    <cfRule type="colorScale" priority="5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5">
    <cfRule type="colorScale" priority="5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5">
    <cfRule type="colorScale" priority="5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6">
    <cfRule type="colorScale" priority="5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7">
    <cfRule type="colorScale" priority="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8">
    <cfRule type="colorScale" priority="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9">
    <cfRule type="colorScale" priority="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5">
    <cfRule type="colorScale" priority="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6">
    <cfRule type="colorScale" priority="5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7">
    <cfRule type="colorScale" priority="5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8">
    <cfRule type="colorScale" priority="4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9">
    <cfRule type="colorScale" priority="4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5">
    <cfRule type="colorScale" priority="4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6">
    <cfRule type="colorScale" priority="4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7">
    <cfRule type="colorScale" priority="4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8">
    <cfRule type="colorScale" priority="4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9">
    <cfRule type="colorScale" priority="4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36">
    <cfRule type="colorScale" priority="1">
      <colorScale>
        <cfvo type="num" val="-0.01"/>
        <cfvo type="num" val="0"/>
        <cfvo type="num" val="0.01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499984740745262"/>
  </sheetPr>
  <dimension ref="B1:U56"/>
  <sheetViews>
    <sheetView showGridLines="0" topLeftCell="D16" zoomScaleNormal="100" zoomScaleSheetLayoutView="100" workbookViewId="0">
      <selection activeCell="O38" sqref="O38:R42"/>
    </sheetView>
  </sheetViews>
  <sheetFormatPr defaultColWidth="8.85546875" defaultRowHeight="15" x14ac:dyDescent="0.25"/>
  <cols>
    <col min="1" max="1" width="1.28515625" style="105" customWidth="1"/>
    <col min="2" max="2" width="20.5703125" style="105" bestFit="1" customWidth="1"/>
    <col min="3" max="3" width="9.85546875" style="105" bestFit="1" customWidth="1"/>
    <col min="4" max="4" width="13.85546875" style="105" bestFit="1" customWidth="1"/>
    <col min="5" max="5" width="11.5703125" style="105" bestFit="1" customWidth="1"/>
    <col min="6" max="6" width="14.85546875" style="105" bestFit="1" customWidth="1"/>
    <col min="7" max="8" width="15.28515625" style="105" bestFit="1" customWidth="1"/>
    <col min="9" max="9" width="18.5703125" style="105" bestFit="1" customWidth="1"/>
    <col min="10" max="12" width="17.140625" style="105" customWidth="1"/>
    <col min="13" max="14" width="20.5703125" style="105" bestFit="1" customWidth="1"/>
    <col min="15" max="15" width="16.85546875" style="105" bestFit="1" customWidth="1"/>
    <col min="16" max="16" width="13.28515625" style="105" bestFit="1" customWidth="1"/>
    <col min="17" max="17" width="16.85546875" style="105" bestFit="1" customWidth="1"/>
    <col min="18" max="18" width="14.7109375" style="105" bestFit="1" customWidth="1"/>
    <col min="19" max="19" width="20.5703125" style="105" bestFit="1" customWidth="1"/>
    <col min="20" max="20" width="19" style="105" bestFit="1" customWidth="1"/>
    <col min="21" max="21" width="20.5703125" style="105" bestFit="1" customWidth="1"/>
    <col min="22" max="22" width="13.42578125" style="105" bestFit="1" customWidth="1"/>
    <col min="23" max="23" width="11.140625" style="105" bestFit="1" customWidth="1"/>
    <col min="24" max="24" width="13.5703125" style="105" bestFit="1" customWidth="1"/>
    <col min="25" max="25" width="12.28515625" style="105" bestFit="1" customWidth="1"/>
    <col min="26" max="26" width="13.5703125" style="105" bestFit="1" customWidth="1"/>
    <col min="27" max="27" width="10.28515625" style="105" bestFit="1" customWidth="1"/>
    <col min="28" max="28" width="16.140625" style="105" bestFit="1" customWidth="1"/>
    <col min="29" max="29" width="13.42578125" style="105" bestFit="1" customWidth="1"/>
    <col min="30" max="16384" width="8.85546875" style="105"/>
  </cols>
  <sheetData>
    <row r="1" spans="2:15" ht="6" customHeight="1" x14ac:dyDescent="0.25"/>
    <row r="2" spans="2:15" ht="21.75" thickBot="1" x14ac:dyDescent="0.3">
      <c r="B2" s="257" t="s">
        <v>14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</row>
    <row r="3" spans="2:15" ht="15" customHeight="1" x14ac:dyDescent="0.25">
      <c r="B3" s="122" t="s">
        <v>31</v>
      </c>
      <c r="C3" s="254" t="s">
        <v>65</v>
      </c>
      <c r="D3" s="236" t="s">
        <v>37</v>
      </c>
      <c r="E3" s="236" t="s">
        <v>38</v>
      </c>
      <c r="F3" s="236" t="s">
        <v>39</v>
      </c>
      <c r="G3" s="240" t="s">
        <v>50</v>
      </c>
      <c r="H3" s="256" t="s">
        <v>35</v>
      </c>
      <c r="I3" s="236" t="s">
        <v>44</v>
      </c>
      <c r="J3" s="236" t="s">
        <v>66</v>
      </c>
      <c r="K3" s="236" t="s">
        <v>45</v>
      </c>
      <c r="L3" s="236" t="s">
        <v>46</v>
      </c>
      <c r="M3" s="236" t="s">
        <v>47</v>
      </c>
      <c r="N3" s="236" t="s">
        <v>48</v>
      </c>
      <c r="O3" s="242" t="s">
        <v>67</v>
      </c>
    </row>
    <row r="4" spans="2:15" ht="15.75" thickBot="1" x14ac:dyDescent="0.3">
      <c r="B4" s="47" t="s">
        <v>36</v>
      </c>
      <c r="C4" s="255"/>
      <c r="D4" s="237"/>
      <c r="E4" s="237"/>
      <c r="F4" s="237"/>
      <c r="G4" s="241"/>
      <c r="H4" s="243"/>
      <c r="I4" s="237"/>
      <c r="J4" s="237"/>
      <c r="K4" s="237"/>
      <c r="L4" s="237"/>
      <c r="M4" s="237"/>
      <c r="N4" s="237"/>
      <c r="O4" s="243"/>
    </row>
    <row r="5" spans="2:15" x14ac:dyDescent="0.25">
      <c r="B5" s="106" t="s">
        <v>0</v>
      </c>
      <c r="C5" s="107"/>
      <c r="D5" s="107"/>
      <c r="E5" s="106">
        <f>(10*((100+'General information'!$G$20+'General information'!$G$21+'General information'!$G$22)-'General information'!C21)/100)*(D5+C5)</f>
        <v>0</v>
      </c>
      <c r="F5" s="106">
        <f>(E5*10)/100</f>
        <v>0</v>
      </c>
      <c r="G5" s="106">
        <f>D5*'General information'!$C$2</f>
        <v>0</v>
      </c>
      <c r="H5" s="106">
        <f>(('General information'!$E$30*C5)*0.8+('General information'!$E$32*C5)*0.2)</f>
        <v>0</v>
      </c>
      <c r="I5" s="106">
        <f>F5*Weapons!$P$28</f>
        <v>0</v>
      </c>
      <c r="J5" s="106">
        <f t="shared" ref="J5:J11" si="0">(G5+I5+H5)</f>
        <v>0</v>
      </c>
      <c r="K5" s="106">
        <f t="shared" ref="K5:K11" si="1">IF(ISERROR((J5/E5)),0,((J5/E5)))</f>
        <v>0</v>
      </c>
      <c r="L5" s="106">
        <f t="shared" ref="L5:L11" si="2">IF(E5=0,0,K5+P5)</f>
        <v>0</v>
      </c>
      <c r="M5" s="106">
        <f>(E5*($P$29-$Q$29))</f>
        <v>0</v>
      </c>
      <c r="N5" s="106">
        <f t="shared" ref="N5:N11" si="3">M5-J5</f>
        <v>0</v>
      </c>
      <c r="O5" s="108">
        <f>IF(E5=0,0,(IF((ISERROR(($P$29-$Q$29)/K5)),0,($P$29-$Q$29)/K5)-1))</f>
        <v>0</v>
      </c>
    </row>
    <row r="6" spans="2:15" x14ac:dyDescent="0.25">
      <c r="B6" s="106" t="s">
        <v>1</v>
      </c>
      <c r="C6" s="107"/>
      <c r="D6" s="107"/>
      <c r="E6" s="106">
        <f>(10*((100+'General information'!$G$20+'General information'!$G$21+'General information'!$G$22)-'General information'!C22)/100)*(D6+C6)</f>
        <v>0</v>
      </c>
      <c r="F6" s="106">
        <f>(E6*20)/100</f>
        <v>0</v>
      </c>
      <c r="G6" s="106">
        <f>D6*'General information'!$C$2</f>
        <v>0</v>
      </c>
      <c r="H6" s="106">
        <f>(('General information'!$E$30*C6)*0.8+('General information'!$E$32*C6)*0.2)</f>
        <v>0</v>
      </c>
      <c r="I6" s="106">
        <f>F6*Weapons!$P$28</f>
        <v>0</v>
      </c>
      <c r="J6" s="106">
        <f t="shared" si="0"/>
        <v>0</v>
      </c>
      <c r="K6" s="106">
        <f t="shared" si="1"/>
        <v>0</v>
      </c>
      <c r="L6" s="106">
        <f t="shared" si="2"/>
        <v>0</v>
      </c>
      <c r="M6" s="106">
        <f>(E6*($P$30-$Q$30))</f>
        <v>0</v>
      </c>
      <c r="N6" s="106">
        <f t="shared" si="3"/>
        <v>0</v>
      </c>
      <c r="O6" s="108">
        <f>IF(E6=0,0,(IF((ISERROR(($P$30-$Q$30)/K6)),0,($P$30-$Q$30)/K6)-1))</f>
        <v>0</v>
      </c>
    </row>
    <row r="7" spans="2:15" x14ac:dyDescent="0.25">
      <c r="B7" s="106" t="s">
        <v>2</v>
      </c>
      <c r="C7" s="107"/>
      <c r="D7" s="107"/>
      <c r="E7" s="106">
        <f>(10*((100+'General information'!$G$20+'General information'!$G$21+'General information'!$G$22)-'General information'!C23)/100)*(D7+C7)</f>
        <v>0</v>
      </c>
      <c r="F7" s="106">
        <f>(E7*30)/100</f>
        <v>0</v>
      </c>
      <c r="G7" s="106">
        <f>D7*'General information'!$C$2</f>
        <v>0</v>
      </c>
      <c r="H7" s="106">
        <f>(('General information'!$E$30*C7)*0.8+('General information'!$E$32*C7)*0.2)</f>
        <v>0</v>
      </c>
      <c r="I7" s="106">
        <f>F7*Weapons!$P$28</f>
        <v>0</v>
      </c>
      <c r="J7" s="106">
        <f t="shared" si="0"/>
        <v>0</v>
      </c>
      <c r="K7" s="106">
        <f t="shared" si="1"/>
        <v>0</v>
      </c>
      <c r="L7" s="106">
        <f t="shared" si="2"/>
        <v>0</v>
      </c>
      <c r="M7" s="106">
        <f>(E7*($P$31-$Q$31))</f>
        <v>0</v>
      </c>
      <c r="N7" s="106">
        <f t="shared" si="3"/>
        <v>0</v>
      </c>
      <c r="O7" s="108">
        <f>IF(E7=0,0,(IF((ISERROR(($P$31-$Q$31)/K7)),0,($P$31-$Q$31)/K7)-1))</f>
        <v>0</v>
      </c>
    </row>
    <row r="8" spans="2:15" x14ac:dyDescent="0.25">
      <c r="B8" s="106" t="s">
        <v>3</v>
      </c>
      <c r="C8" s="107"/>
      <c r="D8" s="107"/>
      <c r="E8" s="106">
        <f>(10*((100+'General information'!$G$20+'General information'!$G$21+'General information'!$G$22)-'General information'!C24)/100)*(D8+C8)</f>
        <v>0</v>
      </c>
      <c r="F8" s="106">
        <f>(E8*40)/100</f>
        <v>0</v>
      </c>
      <c r="G8" s="106">
        <f>D8*'General information'!$C$2</f>
        <v>0</v>
      </c>
      <c r="H8" s="106">
        <f>(('General information'!$E$30*C8)*0.8+('General information'!$E$32*C8)*0.2)</f>
        <v>0</v>
      </c>
      <c r="I8" s="106">
        <f>F8*Weapons!$P$28</f>
        <v>0</v>
      </c>
      <c r="J8" s="106">
        <f t="shared" si="0"/>
        <v>0</v>
      </c>
      <c r="K8" s="106">
        <f t="shared" si="1"/>
        <v>0</v>
      </c>
      <c r="L8" s="106">
        <f t="shared" si="2"/>
        <v>0</v>
      </c>
      <c r="M8" s="106">
        <f>(E8*($P$32-$Q$32))</f>
        <v>0</v>
      </c>
      <c r="N8" s="106">
        <f t="shared" si="3"/>
        <v>0</v>
      </c>
      <c r="O8" s="108">
        <f>IF(E8=0,0,(IF((ISERROR(($P$32-$Q$32)/K8)),0,($P$32-$Q$32)/K8)-1))</f>
        <v>0</v>
      </c>
    </row>
    <row r="9" spans="2:15" x14ac:dyDescent="0.25">
      <c r="B9" s="106" t="s">
        <v>4</v>
      </c>
      <c r="C9" s="107"/>
      <c r="D9" s="107"/>
      <c r="E9" s="106">
        <f>(10*((100+'General information'!$G$20+'General information'!$G$21+'General information'!$G$22)-'General information'!C25)/100)*(D9+C9)</f>
        <v>0</v>
      </c>
      <c r="F9" s="106">
        <f>(E9*50)/100</f>
        <v>0</v>
      </c>
      <c r="G9" s="106">
        <f>D9*'General information'!$C$2</f>
        <v>0</v>
      </c>
      <c r="H9" s="106">
        <f>(('General information'!$E$30*C9)*0.8+('General information'!$E$32*C9)*0.2)</f>
        <v>0</v>
      </c>
      <c r="I9" s="106">
        <f>F9*Weapons!$P$28</f>
        <v>0</v>
      </c>
      <c r="J9" s="106">
        <f t="shared" si="0"/>
        <v>0</v>
      </c>
      <c r="K9" s="106">
        <f t="shared" si="1"/>
        <v>0</v>
      </c>
      <c r="L9" s="106">
        <f t="shared" si="2"/>
        <v>0</v>
      </c>
      <c r="M9" s="106">
        <f>(E9*($P$33-$Q$33))</f>
        <v>0</v>
      </c>
      <c r="N9" s="106">
        <f t="shared" si="3"/>
        <v>0</v>
      </c>
      <c r="O9" s="108">
        <f>IF(E9=0,0,(IF((ISERROR(($P$33-$Q$33)/K9)),0,($P$33-$Q$33)/K9)-1))</f>
        <v>0</v>
      </c>
    </row>
    <row r="10" spans="2:15" x14ac:dyDescent="0.25">
      <c r="B10" s="106" t="s">
        <v>6</v>
      </c>
      <c r="C10" s="107"/>
      <c r="D10" s="107"/>
      <c r="E10" s="106">
        <f>(10*((100+'General information'!$G$20+'General information'!$G$21+'General information'!$G$22)-'General information'!C26)/100)*(D10+C10)</f>
        <v>0</v>
      </c>
      <c r="F10" s="106">
        <f>(E10*60)/100</f>
        <v>0</v>
      </c>
      <c r="G10" s="106">
        <f>D10*'General information'!$C$2</f>
        <v>0</v>
      </c>
      <c r="H10" s="106">
        <f>(('General information'!$E$30*C10)*0.8+('General information'!$E$32*C10)*0.2)</f>
        <v>0</v>
      </c>
      <c r="I10" s="106">
        <f>F10*Weapons!$P$28</f>
        <v>0</v>
      </c>
      <c r="J10" s="106">
        <f t="shared" si="0"/>
        <v>0</v>
      </c>
      <c r="K10" s="106">
        <f t="shared" si="1"/>
        <v>0</v>
      </c>
      <c r="L10" s="106">
        <f t="shared" si="2"/>
        <v>0</v>
      </c>
      <c r="M10" s="106">
        <f>(E10*($P$34-$Q$34))</f>
        <v>0</v>
      </c>
      <c r="N10" s="106">
        <f t="shared" si="3"/>
        <v>0</v>
      </c>
      <c r="O10" s="108">
        <f>IF(E10=0,0,(IF((ISERROR(($P$34-$Q$34)/K10)),0,($P$34-$Q$34)/K10)-1))</f>
        <v>0</v>
      </c>
    </row>
    <row r="11" spans="2:15" x14ac:dyDescent="0.25">
      <c r="B11" s="106" t="s">
        <v>7</v>
      </c>
      <c r="C11" s="107"/>
      <c r="D11" s="107"/>
      <c r="E11" s="106">
        <f>(10*((100+'General information'!$G$20+'General information'!$G$21+'General information'!$G$22)-'General information'!C27)/100)*(D11+C11)</f>
        <v>0</v>
      </c>
      <c r="F11" s="106">
        <f>(E11*200)/100</f>
        <v>0</v>
      </c>
      <c r="G11" s="106">
        <f>D11*'General information'!$C$2</f>
        <v>0</v>
      </c>
      <c r="H11" s="106">
        <f>(('General information'!$E$30*C11)*0.8+('General information'!$E$32*C11)*0.2)</f>
        <v>0</v>
      </c>
      <c r="I11" s="106">
        <f>F11*Weapons!$P$28</f>
        <v>0</v>
      </c>
      <c r="J11" s="106">
        <f t="shared" si="0"/>
        <v>0</v>
      </c>
      <c r="K11" s="106">
        <f t="shared" si="1"/>
        <v>0</v>
      </c>
      <c r="L11" s="106">
        <f t="shared" si="2"/>
        <v>0</v>
      </c>
      <c r="M11" s="106">
        <f>(E11*($P$35-$Q$35))</f>
        <v>0</v>
      </c>
      <c r="N11" s="106">
        <f t="shared" si="3"/>
        <v>0</v>
      </c>
      <c r="O11" s="108">
        <f>IF(E11=0,0,(IF((ISERROR(($P$35-$Q$35)/K11)),0,($P$35-$Q$35)/K11)-1))</f>
        <v>0</v>
      </c>
    </row>
    <row r="12" spans="2:15" x14ac:dyDescent="0.25">
      <c r="B12" s="165" t="s">
        <v>10</v>
      </c>
      <c r="C12" s="110"/>
      <c r="D12" s="110"/>
      <c r="E12" s="110"/>
      <c r="F12" s="110">
        <f>SUM(F5:F11)</f>
        <v>0</v>
      </c>
      <c r="G12" s="110">
        <f>SUM(G5:G11)</f>
        <v>0</v>
      </c>
      <c r="H12" s="110">
        <f>SUM(H5:H11)</f>
        <v>0</v>
      </c>
      <c r="I12" s="110">
        <f>SUM(I5:I11)</f>
        <v>0</v>
      </c>
      <c r="J12" s="110">
        <f>SUM(J5:J11)</f>
        <v>0</v>
      </c>
      <c r="K12" s="110"/>
      <c r="L12" s="110"/>
      <c r="M12" s="110">
        <f>SUM(M5:M11)</f>
        <v>0</v>
      </c>
      <c r="N12" s="106">
        <f>SUM(N5:N11)</f>
        <v>0</v>
      </c>
    </row>
    <row r="13" spans="2:15" ht="6" customHeight="1" x14ac:dyDescent="0.25"/>
    <row r="14" spans="2:15" ht="21.75" thickBot="1" x14ac:dyDescent="0.3">
      <c r="B14" s="257" t="s">
        <v>15</v>
      </c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</row>
    <row r="15" spans="2:15" ht="15" customHeight="1" x14ac:dyDescent="0.25">
      <c r="B15" s="122" t="s">
        <v>31</v>
      </c>
      <c r="C15" s="254" t="s">
        <v>65</v>
      </c>
      <c r="D15" s="236" t="s">
        <v>37</v>
      </c>
      <c r="E15" s="236" t="s">
        <v>38</v>
      </c>
      <c r="F15" s="236" t="s">
        <v>39</v>
      </c>
      <c r="G15" s="240" t="s">
        <v>50</v>
      </c>
      <c r="H15" s="256" t="s">
        <v>35</v>
      </c>
      <c r="I15" s="236" t="s">
        <v>44</v>
      </c>
      <c r="J15" s="236" t="s">
        <v>66</v>
      </c>
      <c r="K15" s="236" t="s">
        <v>45</v>
      </c>
      <c r="L15" s="236" t="s">
        <v>46</v>
      </c>
      <c r="M15" s="236" t="s">
        <v>47</v>
      </c>
      <c r="N15" s="236" t="s">
        <v>48</v>
      </c>
      <c r="O15" s="242" t="s">
        <v>67</v>
      </c>
    </row>
    <row r="16" spans="2:15" ht="15.75" thickBot="1" x14ac:dyDescent="0.3">
      <c r="B16" s="47" t="s">
        <v>36</v>
      </c>
      <c r="C16" s="255"/>
      <c r="D16" s="237"/>
      <c r="E16" s="237"/>
      <c r="F16" s="237"/>
      <c r="G16" s="241"/>
      <c r="H16" s="243"/>
      <c r="I16" s="237"/>
      <c r="J16" s="237"/>
      <c r="K16" s="237"/>
      <c r="L16" s="237"/>
      <c r="M16" s="237"/>
      <c r="N16" s="237"/>
      <c r="O16" s="243"/>
    </row>
    <row r="17" spans="2:21" ht="14.45" customHeight="1" x14ac:dyDescent="0.25">
      <c r="B17" s="106" t="s">
        <v>0</v>
      </c>
      <c r="C17" s="107"/>
      <c r="D17" s="107"/>
      <c r="E17" s="106">
        <f>(10*((100+'General information'!$H$20+'General information'!$H$21+'General information'!$H$22)-'General information'!D21)/100)*(D17+C17)</f>
        <v>0</v>
      </c>
      <c r="F17" s="106">
        <f>(E17*10)/100</f>
        <v>0</v>
      </c>
      <c r="G17" s="106">
        <f>D17*'General information'!$C$2</f>
        <v>0</v>
      </c>
      <c r="H17" s="106">
        <f>(('General information'!$E$31*C17)*0.8+('General information'!$E$32*C17)*0.2)</f>
        <v>0</v>
      </c>
      <c r="I17" s="106">
        <f>F17*Weapons!$P$28</f>
        <v>0</v>
      </c>
      <c r="J17" s="106">
        <f t="shared" ref="J17:J23" si="4">(G17+I17+H17)</f>
        <v>0</v>
      </c>
      <c r="K17" s="106">
        <f t="shared" ref="K17:K23" si="5">IF(ISERROR((J17/E17)),0,((J17/E17)))</f>
        <v>0</v>
      </c>
      <c r="L17" s="106">
        <f t="shared" ref="L17:L23" si="6">IF(E17=0,0,K17+Q29)</f>
        <v>0</v>
      </c>
      <c r="M17" s="106">
        <f>(E17*($P$29-$Q$29))</f>
        <v>0</v>
      </c>
      <c r="N17" s="106">
        <f t="shared" ref="N17:N23" si="7">M17-J17</f>
        <v>0</v>
      </c>
      <c r="O17" s="108">
        <f>IF(E17=0,0,(IF((ISERROR(($P$29-$Q$29)/K17)),0,($P$29-$Q$29)/K17)-1))</f>
        <v>0</v>
      </c>
    </row>
    <row r="18" spans="2:21" x14ac:dyDescent="0.25">
      <c r="B18" s="106" t="s">
        <v>1</v>
      </c>
      <c r="C18" s="107"/>
      <c r="D18" s="107"/>
      <c r="E18" s="106">
        <f>(10*((100+'General information'!$H$20+'General information'!$H$21+'General information'!$H$22)-'General information'!D22)/100)*(D18+C18)</f>
        <v>0</v>
      </c>
      <c r="F18" s="106">
        <f>(E18*20)/100</f>
        <v>0</v>
      </c>
      <c r="G18" s="106">
        <f>D18*'General information'!$C$2</f>
        <v>0</v>
      </c>
      <c r="H18" s="106">
        <f>(('General information'!$E$31*C18)*0.8+('General information'!$E$32*C18)*0.2)</f>
        <v>0</v>
      </c>
      <c r="I18" s="106">
        <f>F18*Weapons!$P$28</f>
        <v>0</v>
      </c>
      <c r="J18" s="106">
        <f t="shared" si="4"/>
        <v>0</v>
      </c>
      <c r="K18" s="106">
        <f t="shared" si="5"/>
        <v>0</v>
      </c>
      <c r="L18" s="106">
        <f t="shared" si="6"/>
        <v>0</v>
      </c>
      <c r="M18" s="106">
        <f>(E18*($P$30-$Q$30))</f>
        <v>0</v>
      </c>
      <c r="N18" s="106">
        <f t="shared" si="7"/>
        <v>0</v>
      </c>
      <c r="O18" s="108">
        <f>IF(E18=0,0,(IF((ISERROR(($P$30-$Q$30)/K18)),0,($P$30-$Q$30)/K18)-1))</f>
        <v>0</v>
      </c>
    </row>
    <row r="19" spans="2:21" ht="14.45" customHeight="1" x14ac:dyDescent="0.25">
      <c r="B19" s="106" t="s">
        <v>2</v>
      </c>
      <c r="C19" s="107"/>
      <c r="D19" s="107"/>
      <c r="E19" s="106">
        <f>(10*((100+'General information'!$H$20+'General information'!$H$21+'General information'!$H$22)-'General information'!D23)/100)*(D19+C19)</f>
        <v>0</v>
      </c>
      <c r="F19" s="106">
        <f>(E19*30)/100</f>
        <v>0</v>
      </c>
      <c r="G19" s="106">
        <f>D19*'General information'!$C$2</f>
        <v>0</v>
      </c>
      <c r="H19" s="106">
        <f>(('General information'!$E$31*C19)*0.8+('General information'!$E$32*C19)*0.2)</f>
        <v>0</v>
      </c>
      <c r="I19" s="106">
        <f>F19*Weapons!$P$28</f>
        <v>0</v>
      </c>
      <c r="J19" s="106">
        <f t="shared" si="4"/>
        <v>0</v>
      </c>
      <c r="K19" s="106">
        <f t="shared" si="5"/>
        <v>0</v>
      </c>
      <c r="L19" s="106">
        <f t="shared" si="6"/>
        <v>0</v>
      </c>
      <c r="M19" s="106">
        <f>(E19*($P$31-$Q$31))</f>
        <v>0</v>
      </c>
      <c r="N19" s="106">
        <f t="shared" si="7"/>
        <v>0</v>
      </c>
      <c r="O19" s="108">
        <f>IF(E19=0,0,(IF((ISERROR(($P$31-$Q$31)/K19)),0,($P$31-$Q$31)/K19)-1))</f>
        <v>0</v>
      </c>
    </row>
    <row r="20" spans="2:21" ht="14.45" customHeight="1" x14ac:dyDescent="0.25">
      <c r="B20" s="106" t="s">
        <v>3</v>
      </c>
      <c r="C20" s="107"/>
      <c r="D20" s="107"/>
      <c r="E20" s="106">
        <f>(10*((100+'General information'!$H$20+'General information'!$H$21+'General information'!$H$22)-'General information'!D24)/100)*(D20+C20)</f>
        <v>0</v>
      </c>
      <c r="F20" s="106">
        <f>(E20*40)/100</f>
        <v>0</v>
      </c>
      <c r="G20" s="106">
        <f>D20*'General information'!$C$2</f>
        <v>0</v>
      </c>
      <c r="H20" s="106">
        <f>(('General information'!$E$31*C20)*0.8+('General information'!$E$32*C20)*0.2)</f>
        <v>0</v>
      </c>
      <c r="I20" s="106">
        <f>F20*Weapons!$P$28</f>
        <v>0</v>
      </c>
      <c r="J20" s="106">
        <f t="shared" si="4"/>
        <v>0</v>
      </c>
      <c r="K20" s="106">
        <f t="shared" si="5"/>
        <v>0</v>
      </c>
      <c r="L20" s="106">
        <f t="shared" si="6"/>
        <v>0</v>
      </c>
      <c r="M20" s="106">
        <f>(E20*($P$32-$Q$32))</f>
        <v>0</v>
      </c>
      <c r="N20" s="106">
        <f t="shared" si="7"/>
        <v>0</v>
      </c>
      <c r="O20" s="108">
        <f>IF(E20=0,0,(IF((ISERROR(($P$32-$Q$32)/K20)),0,($P$32-$Q$32)/K20)-1))</f>
        <v>0</v>
      </c>
    </row>
    <row r="21" spans="2:21" ht="14.45" customHeight="1" x14ac:dyDescent="0.25">
      <c r="B21" s="106" t="s">
        <v>4</v>
      </c>
      <c r="C21" s="107"/>
      <c r="D21" s="107"/>
      <c r="E21" s="106">
        <f>(10*((100+'General information'!$H$20+'General information'!$H$21+'General information'!$H$22)-'General information'!D25)/100)*(D21+C21)</f>
        <v>0</v>
      </c>
      <c r="F21" s="106">
        <f>(E21*50)/100</f>
        <v>0</v>
      </c>
      <c r="G21" s="106">
        <f>D21*'General information'!$C$2</f>
        <v>0</v>
      </c>
      <c r="H21" s="106">
        <f>(('General information'!$E$31*C21)*0.8+('General information'!$E$32*C21)*0.2)</f>
        <v>0</v>
      </c>
      <c r="I21" s="106">
        <f>F21*Weapons!$P$28</f>
        <v>0</v>
      </c>
      <c r="J21" s="106">
        <f t="shared" si="4"/>
        <v>0</v>
      </c>
      <c r="K21" s="106">
        <f t="shared" si="5"/>
        <v>0</v>
      </c>
      <c r="L21" s="106">
        <f t="shared" si="6"/>
        <v>0</v>
      </c>
      <c r="M21" s="106">
        <f>(E21*($P$33-$Q$33))</f>
        <v>0</v>
      </c>
      <c r="N21" s="106">
        <f t="shared" si="7"/>
        <v>0</v>
      </c>
      <c r="O21" s="108">
        <f>IF(E21=0,0,(IF((ISERROR(($P$33-$Q$33)/K21)),0,($P$33-$Q$33)/K21)-1))</f>
        <v>0</v>
      </c>
    </row>
    <row r="22" spans="2:21" x14ac:dyDescent="0.25">
      <c r="B22" s="106" t="s">
        <v>6</v>
      </c>
      <c r="C22" s="107"/>
      <c r="D22" s="107"/>
      <c r="E22" s="106">
        <f>(10*((100+'General information'!$H$20+'General information'!$H$21+'General information'!$H$22)-'General information'!D26)/100)*(D22+C22)</f>
        <v>0</v>
      </c>
      <c r="F22" s="106">
        <f>(E22*60)/100</f>
        <v>0</v>
      </c>
      <c r="G22" s="106">
        <f>D22*'General information'!$C$2</f>
        <v>0</v>
      </c>
      <c r="H22" s="106">
        <f>(('General information'!$E$31*C22)*0.8+('General information'!$E$32*C22)*0.2)</f>
        <v>0</v>
      </c>
      <c r="I22" s="106">
        <f>F22*Weapons!$P$28</f>
        <v>0</v>
      </c>
      <c r="J22" s="106">
        <f t="shared" si="4"/>
        <v>0</v>
      </c>
      <c r="K22" s="106">
        <f t="shared" si="5"/>
        <v>0</v>
      </c>
      <c r="L22" s="106">
        <f t="shared" si="6"/>
        <v>0</v>
      </c>
      <c r="M22" s="106">
        <f>(E22*($P$34-$Q$34))</f>
        <v>0</v>
      </c>
      <c r="N22" s="106">
        <f t="shared" si="7"/>
        <v>0</v>
      </c>
      <c r="O22" s="108">
        <f>IF(E22=0,0,(IF((ISERROR(($P$34-$Q$34)/K22)),0,($P$34-$Q$34)/K22)-1))</f>
        <v>0</v>
      </c>
    </row>
    <row r="23" spans="2:21" ht="14.45" customHeight="1" x14ac:dyDescent="0.25">
      <c r="B23" s="106" t="s">
        <v>7</v>
      </c>
      <c r="C23" s="107"/>
      <c r="D23" s="107"/>
      <c r="E23" s="106">
        <f>(10*((100+'General information'!$H$20+'General information'!$H$21+'General information'!$H$22)-'General information'!D27)/100)*(D23+C23)</f>
        <v>0</v>
      </c>
      <c r="F23" s="106">
        <f>(E23*200)/100</f>
        <v>0</v>
      </c>
      <c r="G23" s="106">
        <f>D23*'General information'!$C$2</f>
        <v>0</v>
      </c>
      <c r="H23" s="106">
        <f>(('General information'!$E$31*C23)*0.8+('General information'!$E$32*C23)*0.2)</f>
        <v>0</v>
      </c>
      <c r="I23" s="106">
        <f>F23*Weapons!$P$28</f>
        <v>0</v>
      </c>
      <c r="J23" s="106">
        <f t="shared" si="4"/>
        <v>0</v>
      </c>
      <c r="K23" s="106">
        <f t="shared" si="5"/>
        <v>0</v>
      </c>
      <c r="L23" s="106">
        <f t="shared" si="6"/>
        <v>0</v>
      </c>
      <c r="M23" s="106">
        <f>(E23*($P$35-$Q$35))</f>
        <v>0</v>
      </c>
      <c r="N23" s="106">
        <f t="shared" si="7"/>
        <v>0</v>
      </c>
      <c r="O23" s="108">
        <f>IF(E23=0,0,(IF((ISERROR(($P$35-$Q$35)/K23)),0,($P$35-$Q$35)/K23)-1))</f>
        <v>0</v>
      </c>
    </row>
    <row r="24" spans="2:21" x14ac:dyDescent="0.25">
      <c r="B24" s="165" t="s">
        <v>10</v>
      </c>
      <c r="C24" s="110"/>
      <c r="D24" s="110"/>
      <c r="E24" s="110"/>
      <c r="F24" s="110">
        <f>SUM(F17:F23)</f>
        <v>0</v>
      </c>
      <c r="G24" s="110">
        <f>SUM(G17:G23)</f>
        <v>0</v>
      </c>
      <c r="H24" s="110">
        <f>SUM(H17:H23)</f>
        <v>0</v>
      </c>
      <c r="I24" s="110">
        <f>SUM(I17:I23)</f>
        <v>0</v>
      </c>
      <c r="J24" s="110">
        <f>SUM(J17:J23)</f>
        <v>0</v>
      </c>
      <c r="K24" s="110"/>
      <c r="L24" s="110"/>
      <c r="M24" s="110">
        <f>SUM(M17:M23)</f>
        <v>0</v>
      </c>
      <c r="N24" s="106">
        <f>SUM(N17:N23)</f>
        <v>0</v>
      </c>
    </row>
    <row r="25" spans="2:21" ht="6" customHeight="1" thickBot="1" x14ac:dyDescent="0.3">
      <c r="P25" s="111"/>
    </row>
    <row r="26" spans="2:21" ht="21.75" thickBot="1" x14ac:dyDescent="0.3">
      <c r="B26" s="257" t="s">
        <v>14</v>
      </c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O26" s="250" t="s">
        <v>68</v>
      </c>
      <c r="P26" s="251"/>
      <c r="Q26" s="251"/>
      <c r="R26" s="251"/>
      <c r="S26" s="251"/>
      <c r="T26" s="251"/>
      <c r="U26" s="252"/>
    </row>
    <row r="27" spans="2:21" ht="15.75" customHeight="1" thickBot="1" x14ac:dyDescent="0.3">
      <c r="B27" s="46" t="s">
        <v>25</v>
      </c>
      <c r="C27" s="254" t="s">
        <v>65</v>
      </c>
      <c r="D27" s="236" t="s">
        <v>37</v>
      </c>
      <c r="E27" s="236" t="s">
        <v>38</v>
      </c>
      <c r="F27" s="256" t="s">
        <v>35</v>
      </c>
      <c r="G27" s="240" t="s">
        <v>50</v>
      </c>
      <c r="H27" s="236" t="s">
        <v>66</v>
      </c>
      <c r="I27" s="236" t="s">
        <v>45</v>
      </c>
      <c r="J27" s="242" t="s">
        <v>52</v>
      </c>
      <c r="K27" s="236" t="s">
        <v>47</v>
      </c>
      <c r="L27" s="236" t="s">
        <v>48</v>
      </c>
      <c r="M27" s="242" t="s">
        <v>53</v>
      </c>
      <c r="O27" s="166" t="s">
        <v>36</v>
      </c>
      <c r="P27" s="167" t="s">
        <v>55</v>
      </c>
      <c r="Q27" s="168" t="s">
        <v>34</v>
      </c>
      <c r="R27" s="167" t="s">
        <v>56</v>
      </c>
      <c r="S27" s="167" t="s">
        <v>57</v>
      </c>
      <c r="T27" s="167" t="s">
        <v>58</v>
      </c>
      <c r="U27" s="169" t="s">
        <v>59</v>
      </c>
    </row>
    <row r="28" spans="2:21" ht="15.75" thickBot="1" x14ac:dyDescent="0.3">
      <c r="B28" s="47" t="s">
        <v>36</v>
      </c>
      <c r="C28" s="255"/>
      <c r="D28" s="237"/>
      <c r="E28" s="237"/>
      <c r="F28" s="243"/>
      <c r="G28" s="241"/>
      <c r="H28" s="237"/>
      <c r="I28" s="237"/>
      <c r="J28" s="243"/>
      <c r="K28" s="237"/>
      <c r="L28" s="237"/>
      <c r="M28" s="243"/>
      <c r="O28" s="42" t="s">
        <v>8</v>
      </c>
      <c r="P28" s="134"/>
      <c r="Q28" s="66">
        <f>IF(F24=0,0,(($P$28*'General information'!H32%)))</f>
        <v>0</v>
      </c>
      <c r="R28" s="134"/>
      <c r="S28" s="66">
        <f t="shared" ref="S28:S35" si="8">P28*R28</f>
        <v>0</v>
      </c>
      <c r="T28" s="66">
        <f>IF(R28=0,0,((Weapons!$P$28*'General information'!$H$32%)*R28))</f>
        <v>0</v>
      </c>
      <c r="U28" s="66">
        <f t="shared" ref="U28:U35" si="9">S28-T28</f>
        <v>0</v>
      </c>
    </row>
    <row r="29" spans="2:21" x14ac:dyDescent="0.25">
      <c r="B29" s="106" t="s">
        <v>0</v>
      </c>
      <c r="C29" s="107"/>
      <c r="D29" s="107"/>
      <c r="E29" s="106">
        <f>((35*((100+'General information'!$G$20+'General information'!$G$21+'General information'!$G$22)-'General information'!$C$20)/100)*(D29+C29))/100</f>
        <v>0</v>
      </c>
      <c r="F29" s="106">
        <f>((C29*'General information'!$E$30)*0.8+(C29*'General information'!$E$32)*0.2)</f>
        <v>0</v>
      </c>
      <c r="G29" s="106">
        <f>D29*'General information'!$C$2</f>
        <v>0</v>
      </c>
      <c r="H29" s="106">
        <f>F29+G29</f>
        <v>0</v>
      </c>
      <c r="I29" s="112">
        <f>IF(ISERROR(H29/E29),0,H29/E29)</f>
        <v>0</v>
      </c>
      <c r="J29" s="75">
        <f>IF(E29=0,0,((Weapons!$P$28*'General information'!$H$32%)*E29))</f>
        <v>0</v>
      </c>
      <c r="K29" s="106">
        <f>E29*(Weapons!$P$28-$Q$28)</f>
        <v>0</v>
      </c>
      <c r="L29" s="106">
        <f>K29-H29</f>
        <v>0</v>
      </c>
      <c r="M29" s="108">
        <f>IFERROR(IF(ISERROR(K29/H29),0,(K29/H29))-IF((K29/H29)&lt;0,0,1),0)</f>
        <v>0</v>
      </c>
      <c r="O29" s="42" t="s">
        <v>0</v>
      </c>
      <c r="P29" s="134"/>
      <c r="Q29" s="66">
        <f>(P29*'General information'!$H$31%)+(P29*'General information'!$H$32%)</f>
        <v>0</v>
      </c>
      <c r="R29" s="134"/>
      <c r="S29" s="66">
        <f t="shared" si="8"/>
        <v>0</v>
      </c>
      <c r="T29" s="66">
        <f>((P29*'General information'!$H$31%)+(P29*'General information'!$H$32%)*R29)</f>
        <v>0</v>
      </c>
      <c r="U29" s="66">
        <f t="shared" si="9"/>
        <v>0</v>
      </c>
    </row>
    <row r="30" spans="2:21" x14ac:dyDescent="0.25">
      <c r="B30" s="106" t="s">
        <v>1</v>
      </c>
      <c r="C30" s="107"/>
      <c r="D30" s="107"/>
      <c r="E30" s="106">
        <f>((70*((100+'General information'!$G$20+'General information'!$G$21+'General information'!$G$22)-'General information'!$C$20)/100)*(D30+C30))/100</f>
        <v>0</v>
      </c>
      <c r="F30" s="106">
        <f>((C30*'General information'!$E$30)*0.8+(C30*'General information'!$E$32)*0.2)</f>
        <v>0</v>
      </c>
      <c r="G30" s="106">
        <f>D30*'General information'!$C$2</f>
        <v>0</v>
      </c>
      <c r="H30" s="106">
        <f>F30+G30</f>
        <v>0</v>
      </c>
      <c r="I30" s="112">
        <f t="shared" ref="I30:I34" si="10">IF(ISERROR(H30/E30),0,H30/E30)</f>
        <v>0</v>
      </c>
      <c r="J30" s="75">
        <f>IF(E30=0,0,((Weapons!$P$28*'General information'!$H$32%)*E30))</f>
        <v>0</v>
      </c>
      <c r="K30" s="106">
        <f>E30*(Weapons!$P$28-$Q$28)</f>
        <v>0</v>
      </c>
      <c r="L30" s="106">
        <f>K30-H30</f>
        <v>0</v>
      </c>
      <c r="M30" s="108">
        <f>IFERROR(IF(ISERROR(K30/H30),0,(K30/H30))-IF((K30/H30)&lt;0,0,1),0)</f>
        <v>0</v>
      </c>
      <c r="O30" s="42" t="s">
        <v>1</v>
      </c>
      <c r="P30" s="134"/>
      <c r="Q30" s="66">
        <f>(P30*'General information'!$H$31%)+(P30*'General information'!$H$32%)</f>
        <v>0</v>
      </c>
      <c r="R30" s="134"/>
      <c r="S30" s="66">
        <f t="shared" si="8"/>
        <v>0</v>
      </c>
      <c r="T30" s="66">
        <f>((P30*'General information'!$H$31%)+(P30*'General information'!$H$32%)*R30)</f>
        <v>0</v>
      </c>
      <c r="U30" s="66">
        <f t="shared" si="9"/>
        <v>0</v>
      </c>
    </row>
    <row r="31" spans="2:21" x14ac:dyDescent="0.25">
      <c r="B31" s="106" t="s">
        <v>2</v>
      </c>
      <c r="C31" s="107"/>
      <c r="D31" s="107"/>
      <c r="E31" s="106">
        <f>((125*((100+'General information'!$G$20+'General information'!$G$21+'General information'!$G$22)-'General information'!$C$20)/100)*(D31+C31))/100</f>
        <v>0</v>
      </c>
      <c r="F31" s="106">
        <f>((C31*'General information'!$E$30)*0.8+(C31*'General information'!$E$32)*0.2)</f>
        <v>0</v>
      </c>
      <c r="G31" s="106">
        <f>D31*'General information'!$C$2</f>
        <v>0</v>
      </c>
      <c r="H31" s="106">
        <f>F31+G31</f>
        <v>0</v>
      </c>
      <c r="I31" s="112">
        <f t="shared" si="10"/>
        <v>0</v>
      </c>
      <c r="J31" s="75">
        <f>IF(E31=0,0,((Weapons!$P$28*'General information'!$H$32%)*E31))</f>
        <v>0</v>
      </c>
      <c r="K31" s="106">
        <f>E31*(Weapons!$P$28-$Q$28)</f>
        <v>0</v>
      </c>
      <c r="L31" s="106">
        <f>K31-H31</f>
        <v>0</v>
      </c>
      <c r="M31" s="108">
        <f>IFERROR(IF(ISERROR(K31/H31),0,(K31/H31))-IF((K31/H31)&lt;0,0,1),0)</f>
        <v>0</v>
      </c>
      <c r="O31" s="42" t="s">
        <v>2</v>
      </c>
      <c r="P31" s="134"/>
      <c r="Q31" s="66">
        <f>(P31*'General information'!$H$31%)+(P31*'General information'!$H$32%)</f>
        <v>0</v>
      </c>
      <c r="R31" s="134"/>
      <c r="S31" s="66">
        <f t="shared" si="8"/>
        <v>0</v>
      </c>
      <c r="T31" s="66">
        <f>((P31*'General information'!$H$31%)+(P31*'General information'!$H$32%)*R31)</f>
        <v>0</v>
      </c>
      <c r="U31" s="66">
        <f t="shared" si="9"/>
        <v>0</v>
      </c>
    </row>
    <row r="32" spans="2:21" x14ac:dyDescent="0.25">
      <c r="B32" s="106" t="s">
        <v>3</v>
      </c>
      <c r="C32" s="107"/>
      <c r="D32" s="107"/>
      <c r="E32" s="106">
        <f>((175*((100+'General information'!$G$20+'General information'!$G$21+'General information'!$G$22)-'General information'!$C$20)/100)*(D32+C32))/100</f>
        <v>0</v>
      </c>
      <c r="F32" s="106">
        <f>((C32*'General information'!$E$30)*0.8+(C32*'General information'!$E$32)*0.2)</f>
        <v>0</v>
      </c>
      <c r="G32" s="106">
        <f>D32*'General information'!$C$2</f>
        <v>0</v>
      </c>
      <c r="H32" s="106">
        <f>F32+G32</f>
        <v>0</v>
      </c>
      <c r="I32" s="112">
        <f t="shared" si="10"/>
        <v>0</v>
      </c>
      <c r="J32" s="75">
        <f>IF(E32=0,0,((Weapons!$P$28*'General information'!$H$32%)*E32))</f>
        <v>0</v>
      </c>
      <c r="K32" s="106">
        <f>E32*(Weapons!$P$28-$Q$28)</f>
        <v>0</v>
      </c>
      <c r="L32" s="106">
        <f>K32-H32</f>
        <v>0</v>
      </c>
      <c r="M32" s="108">
        <f>IFERROR(IF(ISERROR(K32/H32),0,(K32/H32))-IF((K32/H32)&lt;0,0,1),0)</f>
        <v>0</v>
      </c>
      <c r="O32" s="42" t="s">
        <v>3</v>
      </c>
      <c r="P32" s="134"/>
      <c r="Q32" s="66">
        <f>(P32*'General information'!$H$31%)+(P32*'General information'!$H$32%)</f>
        <v>0</v>
      </c>
      <c r="R32" s="134"/>
      <c r="S32" s="66">
        <f t="shared" si="8"/>
        <v>0</v>
      </c>
      <c r="T32" s="66">
        <f>((P32*'General information'!$H$31%)+(P32*'General information'!$H$32%)*R32)</f>
        <v>0</v>
      </c>
      <c r="U32" s="66">
        <f t="shared" si="9"/>
        <v>0</v>
      </c>
    </row>
    <row r="33" spans="2:21" x14ac:dyDescent="0.25">
      <c r="B33" s="106" t="s">
        <v>4</v>
      </c>
      <c r="C33" s="107"/>
      <c r="D33" s="107"/>
      <c r="E33" s="106">
        <f>((250*((100+'General information'!$G$20+'General information'!$G$21+'General information'!$G$22)-'General information'!$C$20)/100)*(D33+C33))/100</f>
        <v>0</v>
      </c>
      <c r="F33" s="106">
        <f>((C33*'General information'!$E$30)*0.8+(C33*'General information'!$E$32)*0.2)</f>
        <v>0</v>
      </c>
      <c r="G33" s="106">
        <f>D33*'General information'!$C$2</f>
        <v>0</v>
      </c>
      <c r="H33" s="106">
        <f>F33+G33</f>
        <v>0</v>
      </c>
      <c r="I33" s="112">
        <f t="shared" si="10"/>
        <v>0</v>
      </c>
      <c r="J33" s="75">
        <f>IF(E33=0,0,((Weapons!$P$28*'General information'!$H$32%)*E33))</f>
        <v>0</v>
      </c>
      <c r="K33" s="106">
        <f>E33*(Weapons!$P$28-$Q$28)</f>
        <v>0</v>
      </c>
      <c r="L33" s="106">
        <f>K33-H33</f>
        <v>0</v>
      </c>
      <c r="M33" s="108">
        <f>IFERROR(IF(ISERROR(K33/H33),0,(K33/H33))-IF((K33/H33)&lt;0,0,1),0)</f>
        <v>0</v>
      </c>
      <c r="O33" s="42" t="s">
        <v>4</v>
      </c>
      <c r="P33" s="109"/>
      <c r="Q33" s="66">
        <f>(P33*'General information'!$H$31%)+(P33*'General information'!$H$32%)</f>
        <v>0</v>
      </c>
      <c r="R33" s="109"/>
      <c r="S33" s="66">
        <f t="shared" si="8"/>
        <v>0</v>
      </c>
      <c r="T33" s="66">
        <f>((P33*'General information'!$H$31%)+(P33*'General information'!$H$32%)*R33)</f>
        <v>0</v>
      </c>
      <c r="U33" s="66">
        <f t="shared" si="9"/>
        <v>0</v>
      </c>
    </row>
    <row r="34" spans="2:21" x14ac:dyDescent="0.25">
      <c r="B34" s="165" t="s">
        <v>10</v>
      </c>
      <c r="C34" s="130"/>
      <c r="D34" s="130"/>
      <c r="E34" s="110">
        <f>SUM(E29:E33)</f>
        <v>0</v>
      </c>
      <c r="F34" s="110">
        <f>SUM(F29:F33)</f>
        <v>0</v>
      </c>
      <c r="G34" s="110">
        <f>SUM(G29:G33)</f>
        <v>0</v>
      </c>
      <c r="H34" s="117">
        <f>SUM(H29:H33)</f>
        <v>0</v>
      </c>
      <c r="I34" s="114">
        <f t="shared" si="10"/>
        <v>0</v>
      </c>
      <c r="J34" s="110">
        <f>SUM(J29:J33)</f>
        <v>0</v>
      </c>
      <c r="K34" s="117">
        <f>SUM(K29:K33)</f>
        <v>0</v>
      </c>
      <c r="L34" s="106">
        <f>SUM(L29:L33)</f>
        <v>0</v>
      </c>
      <c r="O34" s="42" t="s">
        <v>6</v>
      </c>
      <c r="P34" s="109"/>
      <c r="Q34" s="66">
        <f>(P34*'General information'!$H$31%)+(P34*'General information'!$H$32%)</f>
        <v>0</v>
      </c>
      <c r="R34" s="109"/>
      <c r="S34" s="66">
        <f t="shared" si="8"/>
        <v>0</v>
      </c>
      <c r="T34" s="66">
        <f>((P34*'General information'!$H$31%)+(P34*'General information'!$H$32%)*R34)</f>
        <v>0</v>
      </c>
      <c r="U34" s="66">
        <f t="shared" si="9"/>
        <v>0</v>
      </c>
    </row>
    <row r="35" spans="2:21" x14ac:dyDescent="0.25">
      <c r="O35" s="42" t="s">
        <v>7</v>
      </c>
      <c r="P35" s="109"/>
      <c r="Q35" s="66">
        <f>(P35*'General information'!$H$31%)+(P35*'General information'!$H$32%)</f>
        <v>0</v>
      </c>
      <c r="R35" s="109"/>
      <c r="S35" s="66">
        <f t="shared" si="8"/>
        <v>0</v>
      </c>
      <c r="T35" s="66">
        <f>((P35*'General information'!$H$31%)+(P35*'General information'!$H$32%)*R35)</f>
        <v>0</v>
      </c>
      <c r="U35" s="66">
        <f t="shared" si="9"/>
        <v>0</v>
      </c>
    </row>
    <row r="36" spans="2:21" ht="21.75" thickBot="1" x14ac:dyDescent="0.3">
      <c r="B36" s="257" t="s">
        <v>15</v>
      </c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O36" s="40"/>
      <c r="P36" s="40"/>
      <c r="Q36" s="7">
        <f>SUM(Q28:Q35)</f>
        <v>0</v>
      </c>
      <c r="R36" s="40"/>
      <c r="S36" s="39">
        <f>SUM(S28:S35)</f>
        <v>0</v>
      </c>
      <c r="T36" s="39">
        <f>SUM(T28:T35)</f>
        <v>0</v>
      </c>
      <c r="U36" s="99">
        <f>SUM(U28:U35)</f>
        <v>0</v>
      </c>
    </row>
    <row r="37" spans="2:21" ht="15.75" customHeight="1" thickBot="1" x14ac:dyDescent="0.3">
      <c r="B37" s="46" t="s">
        <v>25</v>
      </c>
      <c r="C37" s="254" t="s">
        <v>65</v>
      </c>
      <c r="D37" s="236" t="s">
        <v>37</v>
      </c>
      <c r="E37" s="236" t="s">
        <v>38</v>
      </c>
      <c r="F37" s="256" t="s">
        <v>35</v>
      </c>
      <c r="G37" s="240" t="s">
        <v>50</v>
      </c>
      <c r="H37" s="236" t="s">
        <v>66</v>
      </c>
      <c r="I37" s="236" t="s">
        <v>45</v>
      </c>
      <c r="J37" s="242" t="s">
        <v>52</v>
      </c>
      <c r="K37" s="236" t="s">
        <v>47</v>
      </c>
      <c r="L37" s="236" t="s">
        <v>48</v>
      </c>
      <c r="M37" s="242" t="s">
        <v>53</v>
      </c>
    </row>
    <row r="38" spans="2:21" ht="15.75" thickBot="1" x14ac:dyDescent="0.3">
      <c r="B38" s="47" t="s">
        <v>36</v>
      </c>
      <c r="C38" s="255"/>
      <c r="D38" s="237"/>
      <c r="E38" s="237"/>
      <c r="F38" s="243"/>
      <c r="G38" s="241"/>
      <c r="H38" s="237"/>
      <c r="I38" s="237"/>
      <c r="J38" s="243"/>
      <c r="K38" s="237"/>
      <c r="L38" s="237"/>
      <c r="M38" s="243"/>
      <c r="O38"/>
      <c r="P38" s="312" t="s">
        <v>8</v>
      </c>
      <c r="Q38" s="164" t="s">
        <v>60</v>
      </c>
      <c r="R38" s="90" t="s">
        <v>61</v>
      </c>
    </row>
    <row r="39" spans="2:21" x14ac:dyDescent="0.25">
      <c r="B39" s="106" t="s">
        <v>0</v>
      </c>
      <c r="C39" s="107"/>
      <c r="D39" s="107"/>
      <c r="E39" s="106">
        <f>((35*((100+'General information'!$H$20+'General information'!$H$21+'General information'!$H$22)-'General information'!$D$20)/100)*(D39+C39))/100</f>
        <v>0</v>
      </c>
      <c r="F39" s="106">
        <f>((C39*'General information'!$E$31)*0.8+(C39*'General information'!$E$32)*0.2)</f>
        <v>0</v>
      </c>
      <c r="G39" s="106">
        <f>D39*'General information'!$C$2</f>
        <v>0</v>
      </c>
      <c r="H39" s="106">
        <f>F39+G39</f>
        <v>0</v>
      </c>
      <c r="I39" s="112">
        <f t="shared" ref="I39:I44" si="11">IF(ISERROR(H39/E39),0,H39/E39)</f>
        <v>0</v>
      </c>
      <c r="J39" s="75">
        <f>IF(E39=0,0,((Weapons!$P$28*'General information'!$H$32%)*E39))</f>
        <v>0</v>
      </c>
      <c r="K39" s="106">
        <f>E39*(Weapons!$P$28-$Q$28)</f>
        <v>0</v>
      </c>
      <c r="L39" s="106">
        <f>K39-H39</f>
        <v>0</v>
      </c>
      <c r="M39" s="108">
        <f>IFERROR(IF(ISERROR(K39/H39),0,(K39/H39))-IF((K39/H39)&lt;0,0,1),0)</f>
        <v>0</v>
      </c>
      <c r="O39" s="170" t="s">
        <v>38</v>
      </c>
      <c r="P39" s="307">
        <f>E34+E44</f>
        <v>0</v>
      </c>
      <c r="Q39" s="308">
        <f>P39*((I34+I44)/2)</f>
        <v>0</v>
      </c>
      <c r="R39" s="309">
        <f>IF(ISERROR(Q39/P39),0,Q39/P39)</f>
        <v>0</v>
      </c>
    </row>
    <row r="40" spans="2:21" ht="15.75" thickBot="1" x14ac:dyDescent="0.3">
      <c r="B40" s="106" t="s">
        <v>1</v>
      </c>
      <c r="C40" s="107"/>
      <c r="D40" s="107"/>
      <c r="E40" s="106">
        <f>((70*((100+'General information'!$H$20+'General information'!$H$21+'General information'!$H$22)-'General information'!$D$20)/100)*(D40+C40))/100</f>
        <v>0</v>
      </c>
      <c r="F40" s="106">
        <f>((C40*'General information'!$E$31)*0.8+(C40*'General information'!$E$32)*0.2)</f>
        <v>0</v>
      </c>
      <c r="G40" s="106">
        <f>D40*'General information'!$C$2</f>
        <v>0</v>
      </c>
      <c r="H40" s="106">
        <f>F40+G40</f>
        <v>0</v>
      </c>
      <c r="I40" s="112">
        <f t="shared" si="11"/>
        <v>0</v>
      </c>
      <c r="J40" s="75">
        <f>IF(E40=0,0,((Weapons!$P$28*'General information'!$H$32%)*E40))</f>
        <v>0</v>
      </c>
      <c r="K40" s="106">
        <f>E40*(Weapons!$P$28-$Q$28)</f>
        <v>0</v>
      </c>
      <c r="L40" s="106">
        <f>K40-H40</f>
        <v>0</v>
      </c>
      <c r="M40" s="108">
        <f>IFERROR(IF(ISERROR(K40/F40),0,(K40/F40))-IF((K40/F40)&lt;0,0,1),0)</f>
        <v>0</v>
      </c>
      <c r="O40" s="92" t="s">
        <v>63</v>
      </c>
      <c r="P40" s="310">
        <f>IF(P41&gt;P39,P41-P39,0)</f>
        <v>0</v>
      </c>
      <c r="Q40" s="126">
        <f>P28*P40</f>
        <v>0</v>
      </c>
      <c r="R40" s="127">
        <f>IF(ISERROR(Q40/P40),0,Q40/P40)</f>
        <v>0</v>
      </c>
    </row>
    <row r="41" spans="2:21" ht="15.75" thickBot="1" x14ac:dyDescent="0.3">
      <c r="B41" s="106" t="s">
        <v>2</v>
      </c>
      <c r="C41" s="107"/>
      <c r="D41" s="107"/>
      <c r="E41" s="106">
        <f>((125*((100+'General information'!$H$20+'General information'!$H$21+'General information'!$H$22)-'General information'!$D$20)/100)*(D41+C41))/100</f>
        <v>0</v>
      </c>
      <c r="F41" s="106">
        <f>((C41*'General information'!$E$31)*0.8+(C41*'General information'!$E$32)*0.2)</f>
        <v>0</v>
      </c>
      <c r="G41" s="106">
        <f>D41*'General information'!$C$2</f>
        <v>0</v>
      </c>
      <c r="H41" s="106">
        <f>F41+G41</f>
        <v>0</v>
      </c>
      <c r="I41" s="112">
        <f t="shared" si="11"/>
        <v>0</v>
      </c>
      <c r="J41" s="75">
        <f>IF(E41=0,0,((Weapons!$P$28*'General information'!$H$32%)*E41))</f>
        <v>0</v>
      </c>
      <c r="K41" s="106">
        <f>E41*(Weapons!$P$28-$Q$28)</f>
        <v>0</v>
      </c>
      <c r="L41" s="106">
        <f>K41-H41</f>
        <v>0</v>
      </c>
      <c r="M41" s="108">
        <f>IFERROR(IF(ISERROR(K41/F41),0,(K41/F41))-IF((K41/F41)&lt;0,0,1),0)</f>
        <v>0</v>
      </c>
      <c r="O41" s="91" t="s">
        <v>62</v>
      </c>
      <c r="P41" s="311">
        <f>F12+F24</f>
        <v>0</v>
      </c>
      <c r="Q41" s="10">
        <f>Q39+Q40</f>
        <v>0</v>
      </c>
      <c r="R41" s="15">
        <f>IF(P41&gt;P39,((P39/P41*R39)+(P40/P41*R40)),R39)</f>
        <v>0</v>
      </c>
    </row>
    <row r="42" spans="2:21" ht="15.75" thickBot="1" x14ac:dyDescent="0.3">
      <c r="B42" s="106" t="s">
        <v>3</v>
      </c>
      <c r="C42" s="107"/>
      <c r="D42" s="107"/>
      <c r="E42" s="106">
        <f>((175*((100+'General information'!$H$20+'General information'!$H$21+'General information'!$H$22)-'General information'!$D$20)/100)*(D42+C42))/100</f>
        <v>0</v>
      </c>
      <c r="F42" s="106">
        <f>((C42*'General information'!$E$31)*0.8+(C42*'General information'!$E$32)*0.2)</f>
        <v>0</v>
      </c>
      <c r="G42" s="106">
        <f>D42*'General information'!$C$2</f>
        <v>0</v>
      </c>
      <c r="H42" s="106">
        <f>F42+G42</f>
        <v>0</v>
      </c>
      <c r="I42" s="112">
        <f t="shared" si="11"/>
        <v>0</v>
      </c>
      <c r="J42" s="75">
        <f>IF(E42=0,0,((Weapons!$P$28*'General information'!$H$32%)*E42))</f>
        <v>0</v>
      </c>
      <c r="K42" s="106">
        <f>E42*(Weapons!$P$28-$Q$28)</f>
        <v>0</v>
      </c>
      <c r="L42" s="106">
        <f>K42-H42</f>
        <v>0</v>
      </c>
      <c r="M42" s="108">
        <f>IFERROR(IF(ISERROR(K42/F42),0,(K42/F42))-IF((K42/F42)&lt;0,0,1),0)</f>
        <v>0</v>
      </c>
      <c r="O42" s="158" t="s">
        <v>64</v>
      </c>
      <c r="P42" s="306">
        <f>P39-P41</f>
        <v>0</v>
      </c>
      <c r="Q42"/>
      <c r="R42"/>
    </row>
    <row r="43" spans="2:21" x14ac:dyDescent="0.25">
      <c r="B43" s="106" t="s">
        <v>4</v>
      </c>
      <c r="C43" s="107"/>
      <c r="D43" s="107"/>
      <c r="E43" s="106">
        <f>((250*((100+'General information'!$H$20+'General information'!$H$21+'General information'!$H$22)-'General information'!$D$20)/100)*(D43+C43))/100</f>
        <v>0</v>
      </c>
      <c r="F43" s="106">
        <f>((C43*'General information'!$E$31)*0.8+(C43*'General information'!$E$32)*0.2)</f>
        <v>0</v>
      </c>
      <c r="G43" s="106">
        <f>D43*'General information'!$C$2</f>
        <v>0</v>
      </c>
      <c r="H43" s="106">
        <f>F43+G43</f>
        <v>0</v>
      </c>
      <c r="I43" s="112">
        <f t="shared" si="11"/>
        <v>0</v>
      </c>
      <c r="J43" s="75">
        <f>IF(E43=0,0,((Weapons!$P$28*'General information'!$H$32%)*E43))</f>
        <v>0</v>
      </c>
      <c r="K43" s="106">
        <f>E43*(Weapons!$P$28-$Q$28)</f>
        <v>0</v>
      </c>
      <c r="L43" s="106">
        <f>K43-H43</f>
        <v>0</v>
      </c>
      <c r="M43" s="108">
        <f>IFERROR(IF(ISERROR(K43/H43),0,(K43/H43))-IF((K43/H43)&lt;0,0,1),0)</f>
        <v>0</v>
      </c>
    </row>
    <row r="44" spans="2:21" x14ac:dyDescent="0.25">
      <c r="B44" s="165" t="s">
        <v>10</v>
      </c>
      <c r="C44" s="131"/>
      <c r="D44" s="131"/>
      <c r="E44" s="110">
        <f>SUM(E39:E43)</f>
        <v>0</v>
      </c>
      <c r="F44" s="110">
        <f>SUM(F39:F43)</f>
        <v>0</v>
      </c>
      <c r="G44" s="110">
        <f>SUM(G39:G43)</f>
        <v>0</v>
      </c>
      <c r="H44" s="110">
        <f>SUM(H39:H43)</f>
        <v>0</v>
      </c>
      <c r="I44" s="114">
        <f t="shared" si="11"/>
        <v>0</v>
      </c>
      <c r="J44" s="110">
        <f>SUM(J39:J43)</f>
        <v>0</v>
      </c>
      <c r="K44" s="110">
        <f>SUM(K39:K43)</f>
        <v>0</v>
      </c>
      <c r="L44" s="106">
        <f>SUM(L39:L43)</f>
        <v>0</v>
      </c>
    </row>
    <row r="48" spans="2:21" ht="15" customHeight="1" x14ac:dyDescent="0.25"/>
    <row r="56" spans="16:16" x14ac:dyDescent="0.25">
      <c r="P56" s="113"/>
    </row>
  </sheetData>
  <sheetProtection sheet="1" objects="1" scenarios="1"/>
  <mergeCells count="53">
    <mergeCell ref="O26:U26"/>
    <mergeCell ref="B2:O2"/>
    <mergeCell ref="B14:O14"/>
    <mergeCell ref="B26:M26"/>
    <mergeCell ref="B36:M36"/>
    <mergeCell ref="O3:O4"/>
    <mergeCell ref="K27:K28"/>
    <mergeCell ref="G3:G4"/>
    <mergeCell ref="M3:M4"/>
    <mergeCell ref="N3:N4"/>
    <mergeCell ref="L27:L28"/>
    <mergeCell ref="M27:M28"/>
    <mergeCell ref="I3:I4"/>
    <mergeCell ref="H27:H28"/>
    <mergeCell ref="J3:J4"/>
    <mergeCell ref="I27:I28"/>
    <mergeCell ref="J27:J28"/>
    <mergeCell ref="L3:L4"/>
    <mergeCell ref="N15:N16"/>
    <mergeCell ref="F27:F28"/>
    <mergeCell ref="C27:C28"/>
    <mergeCell ref="D27:D28"/>
    <mergeCell ref="C3:C4"/>
    <mergeCell ref="D3:D4"/>
    <mergeCell ref="E3:E4"/>
    <mergeCell ref="F3:F4"/>
    <mergeCell ref="C15:C16"/>
    <mergeCell ref="D15:D16"/>
    <mergeCell ref="K3:K4"/>
    <mergeCell ref="G27:G28"/>
    <mergeCell ref="E27:E28"/>
    <mergeCell ref="H3:H4"/>
    <mergeCell ref="E15:E16"/>
    <mergeCell ref="F15:F16"/>
    <mergeCell ref="G15:G16"/>
    <mergeCell ref="H15:H16"/>
    <mergeCell ref="I15:I16"/>
    <mergeCell ref="O15:O16"/>
    <mergeCell ref="C37:C38"/>
    <mergeCell ref="D37:D38"/>
    <mergeCell ref="E37:E38"/>
    <mergeCell ref="F37:F38"/>
    <mergeCell ref="J37:J38"/>
    <mergeCell ref="G37:G38"/>
    <mergeCell ref="H37:H38"/>
    <mergeCell ref="I37:I38"/>
    <mergeCell ref="J15:J16"/>
    <mergeCell ref="K15:K16"/>
    <mergeCell ref="K37:K38"/>
    <mergeCell ref="L37:L38"/>
    <mergeCell ref="M37:M38"/>
    <mergeCell ref="L15:L16"/>
    <mergeCell ref="M15:M16"/>
  </mergeCells>
  <conditionalFormatting sqref="N5:N9 L29:L34">
    <cfRule type="colorScale" priority="26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2">
    <cfRule type="colorScale" priority="26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0">
    <cfRule type="colorScale" priority="26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1">
    <cfRule type="colorScale" priority="26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7:N21">
    <cfRule type="colorScale" priority="16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4">
    <cfRule type="colorScale" priority="16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2">
    <cfRule type="colorScale" priority="16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3">
    <cfRule type="colorScale" priority="16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39:L44">
    <cfRule type="colorScale" priority="1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0">
    <cfRule type="colorScale" priority="1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9">
    <cfRule type="colorScale" priority="1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1">
    <cfRule type="colorScale" priority="1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2">
    <cfRule type="colorScale" priority="15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3">
    <cfRule type="colorScale" priority="15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5">
    <cfRule type="colorScale" priority="11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29">
    <cfRule type="colorScale" priority="10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6">
    <cfRule type="colorScale" priority="9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7">
    <cfRule type="colorScale" priority="8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8">
    <cfRule type="colorScale" priority="8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9">
    <cfRule type="colorScale" priority="8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0">
    <cfRule type="colorScale" priority="8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1">
    <cfRule type="colorScale" priority="8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0">
    <cfRule type="colorScale" priority="6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1">
    <cfRule type="colorScale" priority="6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2">
    <cfRule type="colorScale" priority="6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3">
    <cfRule type="colorScale" priority="5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7">
    <cfRule type="colorScale" priority="5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8">
    <cfRule type="colorScale" priority="5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9">
    <cfRule type="colorScale" priority="5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0">
    <cfRule type="colorScale" priority="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1">
    <cfRule type="colorScale" priority="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2">
    <cfRule type="colorScale" priority="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3">
    <cfRule type="colorScale" priority="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42">
    <cfRule type="colorScale" priority="1">
      <colorScale>
        <cfvo type="num" val="-0.01"/>
        <cfvo type="num" val="0"/>
        <cfvo type="num" val="0.01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B25:S2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499984740745262"/>
  </sheetPr>
  <dimension ref="B1:T41"/>
  <sheetViews>
    <sheetView showGridLines="0" topLeftCell="A7" workbookViewId="0">
      <selection activeCell="L32" sqref="L32"/>
    </sheetView>
  </sheetViews>
  <sheetFormatPr defaultRowHeight="15" x14ac:dyDescent="0.25"/>
  <cols>
    <col min="1" max="1" width="1.28515625" customWidth="1"/>
    <col min="2" max="2" width="17.28515625" bestFit="1" customWidth="1"/>
    <col min="3" max="3" width="12.7109375" bestFit="1" customWidth="1"/>
    <col min="4" max="4" width="11.5703125" bestFit="1" customWidth="1"/>
    <col min="5" max="6" width="15.28515625" bestFit="1" customWidth="1"/>
    <col min="7" max="7" width="16.85546875" bestFit="1" customWidth="1"/>
    <col min="8" max="8" width="22" bestFit="1" customWidth="1"/>
    <col min="9" max="10" width="21.42578125" customWidth="1"/>
    <col min="11" max="11" width="16.85546875" bestFit="1" customWidth="1"/>
    <col min="12" max="12" width="17.85546875" bestFit="1" customWidth="1"/>
    <col min="13" max="13" width="19.5703125" bestFit="1" customWidth="1"/>
    <col min="14" max="14" width="15.28515625" style="1" bestFit="1" customWidth="1"/>
    <col min="15" max="15" width="14.7109375" style="1" bestFit="1" customWidth="1"/>
    <col min="16" max="16" width="19" style="1" bestFit="1" customWidth="1"/>
    <col min="17" max="17" width="18" style="1" bestFit="1" customWidth="1"/>
    <col min="18" max="18" width="19" bestFit="1" customWidth="1"/>
    <col min="19" max="19" width="13.85546875" bestFit="1" customWidth="1"/>
    <col min="20" max="20" width="10.7109375" bestFit="1" customWidth="1"/>
    <col min="21" max="21" width="13.28515625" bestFit="1" customWidth="1"/>
    <col min="22" max="22" width="14" bestFit="1" customWidth="1"/>
    <col min="23" max="23" width="9.5703125" bestFit="1" customWidth="1"/>
  </cols>
  <sheetData>
    <row r="1" spans="2:20" s="29" customFormat="1" ht="6" customHeight="1" x14ac:dyDescent="0.25">
      <c r="O1" s="1"/>
      <c r="P1" s="1"/>
      <c r="Q1" s="1"/>
    </row>
    <row r="2" spans="2:20" s="29" customFormat="1" ht="21.75" thickBot="1" x14ac:dyDescent="0.3">
      <c r="B2" s="253" t="s">
        <v>16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1"/>
      <c r="O2" s="1"/>
      <c r="P2" s="1"/>
      <c r="Q2" s="1"/>
      <c r="R2"/>
      <c r="S2"/>
      <c r="T2"/>
    </row>
    <row r="3" spans="2:20" s="29" customFormat="1" ht="15" customHeight="1" thickBot="1" x14ac:dyDescent="0.3">
      <c r="B3" s="47" t="s">
        <v>30</v>
      </c>
      <c r="C3" s="236" t="s">
        <v>37</v>
      </c>
      <c r="D3" s="236" t="s">
        <v>38</v>
      </c>
      <c r="E3" s="236" t="s">
        <v>39</v>
      </c>
      <c r="F3" s="240" t="s">
        <v>50</v>
      </c>
      <c r="G3" s="236" t="s">
        <v>44</v>
      </c>
      <c r="H3" s="236" t="s">
        <v>66</v>
      </c>
      <c r="I3" s="236" t="s">
        <v>45</v>
      </c>
      <c r="J3" s="236" t="s">
        <v>46</v>
      </c>
      <c r="K3" s="236" t="s">
        <v>47</v>
      </c>
      <c r="L3" s="236" t="s">
        <v>48</v>
      </c>
      <c r="M3" s="242" t="s">
        <v>69</v>
      </c>
      <c r="N3" s="1"/>
    </row>
    <row r="4" spans="2:20" s="29" customFormat="1" ht="15.75" thickBot="1" x14ac:dyDescent="0.3">
      <c r="B4" s="47" t="s">
        <v>36</v>
      </c>
      <c r="C4" s="237"/>
      <c r="D4" s="237"/>
      <c r="E4" s="237"/>
      <c r="F4" s="241"/>
      <c r="G4" s="237"/>
      <c r="H4" s="237"/>
      <c r="I4" s="237"/>
      <c r="J4" s="237"/>
      <c r="K4" s="237"/>
      <c r="L4" s="237"/>
      <c r="M4" s="243"/>
      <c r="N4" s="1"/>
    </row>
    <row r="5" spans="2:20" s="29" customFormat="1" x14ac:dyDescent="0.25">
      <c r="B5" s="2" t="s">
        <v>0</v>
      </c>
      <c r="C5" s="6"/>
      <c r="D5" s="2">
        <f>(5*((100+'General information'!$O$7+'General information'!$O$8+'General information'!$O$9)-'General information'!K8)/100)*C5</f>
        <v>0</v>
      </c>
      <c r="E5" s="2">
        <f>(D5*20)/100</f>
        <v>0</v>
      </c>
      <c r="F5" s="2">
        <f>C5*'General information'!$C$2</f>
        <v>0</v>
      </c>
      <c r="G5" s="2">
        <f>E5*Airplanes!$M$24</f>
        <v>0</v>
      </c>
      <c r="H5" s="2">
        <f>F5+G5</f>
        <v>0</v>
      </c>
      <c r="I5" s="2">
        <f>IFERROR((H5)/D5,0)</f>
        <v>0</v>
      </c>
      <c r="J5" s="16">
        <f>IF(D5=0,0,I5+$N$25)</f>
        <v>0</v>
      </c>
      <c r="K5" s="2">
        <f>($M$25-$N$25)*D5</f>
        <v>0</v>
      </c>
      <c r="L5" s="2">
        <f>K5-H5</f>
        <v>0</v>
      </c>
      <c r="M5" s="14">
        <f>IFERROR((IF(ISERROR(($M$25-$N$25)/I5),0,(($M$25-$N$25)/I5))-IF((($M$25-$N$25)/I5)&lt;0,0,1)),0)</f>
        <v>0</v>
      </c>
      <c r="N5" s="1"/>
    </row>
    <row r="6" spans="2:20" x14ac:dyDescent="0.25">
      <c r="B6" s="2" t="s">
        <v>1</v>
      </c>
      <c r="C6" s="6"/>
      <c r="D6" s="2">
        <f>(5*((100+'General information'!$O$7+'General information'!$O$8+'General information'!$O$9)-'General information'!K9)/100)*C6</f>
        <v>0</v>
      </c>
      <c r="E6" s="2">
        <f>(D6*40)/100</f>
        <v>0</v>
      </c>
      <c r="F6" s="2">
        <f>C6*'General information'!$C$2</f>
        <v>0</v>
      </c>
      <c r="G6" s="2">
        <f>E6*Airplanes!$M$24</f>
        <v>0</v>
      </c>
      <c r="H6" s="2">
        <f>F6+G6</f>
        <v>0</v>
      </c>
      <c r="I6" s="2">
        <f>IFERROR((H6)/D6,0)</f>
        <v>0</v>
      </c>
      <c r="J6" s="16">
        <f>IF(D6=0,0,I6+$N$26)</f>
        <v>0</v>
      </c>
      <c r="K6" s="2">
        <f>($M$26-$N$26)*D6</f>
        <v>0</v>
      </c>
      <c r="L6" s="2">
        <f>K6-H6</f>
        <v>0</v>
      </c>
      <c r="M6" s="14">
        <f>IFERROR((IF(ISERROR(($M$26-$N$26)/I6),0,(($M$26-$N$26)/I6))-IF((($M$26-$N$26)/I6)&lt;0,0,1)),0)</f>
        <v>0</v>
      </c>
    </row>
    <row r="7" spans="2:20" ht="14.45" customHeight="1" x14ac:dyDescent="0.25">
      <c r="B7" s="2" t="s">
        <v>2</v>
      </c>
      <c r="C7" s="6"/>
      <c r="D7" s="2">
        <f>(5*((100+'General information'!$O$7+'General information'!$O$8+'General information'!$O$9)-'General information'!K10)/100)*C7</f>
        <v>0</v>
      </c>
      <c r="E7" s="2">
        <f>(D7*60)/100</f>
        <v>0</v>
      </c>
      <c r="F7" s="2">
        <f>C7*'General information'!$C$2</f>
        <v>0</v>
      </c>
      <c r="G7" s="2">
        <f>E7*Airplanes!$M$24</f>
        <v>0</v>
      </c>
      <c r="H7" s="2">
        <f>F7+G7</f>
        <v>0</v>
      </c>
      <c r="I7" s="2">
        <f>IFERROR((H7)/D7,0)</f>
        <v>0</v>
      </c>
      <c r="J7" s="16">
        <f>IF(D7=0,0,I7+$N$27)</f>
        <v>0</v>
      </c>
      <c r="K7" s="2">
        <f>($M$27-$N$27)*D7</f>
        <v>0</v>
      </c>
      <c r="L7" s="2">
        <f>K7-H7</f>
        <v>0</v>
      </c>
      <c r="M7" s="14">
        <f>IFERROR((IF(ISERROR(($M$27-$N$27)/I7),0,(($M$27-$N$27)/I7))-IF((($M$27-$N$27)/I7)&lt;0,0,1)),0)</f>
        <v>0</v>
      </c>
    </row>
    <row r="8" spans="2:20" x14ac:dyDescent="0.25">
      <c r="B8" s="2" t="s">
        <v>3</v>
      </c>
      <c r="C8" s="6"/>
      <c r="D8" s="2">
        <f>(5*((100+'General information'!$O$7+'General information'!$O$8+'General information'!$O$9)-'General information'!K11)/100)*C8</f>
        <v>0</v>
      </c>
      <c r="E8" s="2">
        <f>(D8*80)/100</f>
        <v>0</v>
      </c>
      <c r="F8" s="2">
        <f>C8*'General information'!$C$2</f>
        <v>0</v>
      </c>
      <c r="G8" s="2">
        <f>E8*Airplanes!$M$24</f>
        <v>0</v>
      </c>
      <c r="H8" s="2">
        <f>F8+G8</f>
        <v>0</v>
      </c>
      <c r="I8" s="2">
        <f>IFERROR((H8)/D8,0)</f>
        <v>0</v>
      </c>
      <c r="J8" s="16">
        <f>IF(D8=0,0,I8+$N$28)</f>
        <v>0</v>
      </c>
      <c r="K8" s="2">
        <f>($M$28-$N$28)*D8</f>
        <v>0</v>
      </c>
      <c r="L8" s="2">
        <f>K8-H8</f>
        <v>0</v>
      </c>
      <c r="M8" s="14">
        <f>IFERROR((IF(ISERROR(($M$28-$N$28)/I8),0,(($M$28-$N$28)/I8))-IF((($M$28-$N$28)/I8)&lt;0,0,1)),0)</f>
        <v>0</v>
      </c>
      <c r="R8" s="1"/>
    </row>
    <row r="9" spans="2:20" x14ac:dyDescent="0.25">
      <c r="B9" s="2" t="s">
        <v>4</v>
      </c>
      <c r="C9" s="6"/>
      <c r="D9" s="2">
        <f>(5*((100+'General information'!$O$7+'General information'!$O$8+'General information'!$O$9)-'General information'!K12)/100)*C9</f>
        <v>0</v>
      </c>
      <c r="E9" s="2">
        <f>(D9*100)/100</f>
        <v>0</v>
      </c>
      <c r="F9" s="2">
        <f>C9*'General information'!$C$2</f>
        <v>0</v>
      </c>
      <c r="G9" s="2">
        <f>E9*Airplanes!$M$24</f>
        <v>0</v>
      </c>
      <c r="H9" s="2">
        <f>F9+G9</f>
        <v>0</v>
      </c>
      <c r="I9" s="2">
        <f>IFERROR((H9)/D9,0)</f>
        <v>0</v>
      </c>
      <c r="J9" s="16">
        <f>IF(D9=0,0,I9+$N$29)</f>
        <v>0</v>
      </c>
      <c r="K9" s="2">
        <f>($M$29-$N$29)*D9</f>
        <v>0</v>
      </c>
      <c r="L9" s="2">
        <f>K9-H9</f>
        <v>0</v>
      </c>
      <c r="M9" s="14">
        <f>IFERROR((IF(ISERROR(($M$29-$N$29)/I9),0,(($M$29-$N$29)/I9))-IF((($M$29-$N$29)/I9)&lt;0,0,1)),0)</f>
        <v>0</v>
      </c>
    </row>
    <row r="10" spans="2:20" x14ac:dyDescent="0.25">
      <c r="B10" s="132" t="s">
        <v>10</v>
      </c>
      <c r="C10" s="132"/>
      <c r="D10" s="132"/>
      <c r="E10" s="3">
        <f>SUM(E5:E9)</f>
        <v>0</v>
      </c>
      <c r="F10" s="3">
        <f>SUM(F5:F9)</f>
        <v>0</v>
      </c>
      <c r="G10" s="3">
        <f>SUM(G5:G9)</f>
        <v>0</v>
      </c>
      <c r="H10" s="3">
        <f>SUM(H5:H9)</f>
        <v>0</v>
      </c>
      <c r="I10" s="3"/>
      <c r="J10" s="3"/>
      <c r="K10" s="3">
        <f>SUM(K5:K9)</f>
        <v>0</v>
      </c>
      <c r="L10" s="8">
        <f>SUM(L5:L9)</f>
        <v>0</v>
      </c>
      <c r="M10" s="1"/>
    </row>
    <row r="11" spans="2:20" ht="15.75" thickBot="1" x14ac:dyDescent="0.3"/>
    <row r="12" spans="2:20" ht="21.75" thickBot="1" x14ac:dyDescent="0.3">
      <c r="B12" s="248" t="s">
        <v>15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</row>
    <row r="13" spans="2:20" ht="15" customHeight="1" thickBot="1" x14ac:dyDescent="0.3">
      <c r="B13" s="47" t="s">
        <v>30</v>
      </c>
      <c r="C13" s="236" t="s">
        <v>37</v>
      </c>
      <c r="D13" s="236" t="s">
        <v>38</v>
      </c>
      <c r="E13" s="236" t="s">
        <v>39</v>
      </c>
      <c r="F13" s="240" t="s">
        <v>50</v>
      </c>
      <c r="G13" s="236" t="s">
        <v>44</v>
      </c>
      <c r="H13" s="236" t="s">
        <v>66</v>
      </c>
      <c r="I13" s="236" t="s">
        <v>45</v>
      </c>
      <c r="J13" s="236" t="s">
        <v>46</v>
      </c>
      <c r="K13" s="236" t="s">
        <v>47</v>
      </c>
      <c r="L13" s="236" t="s">
        <v>48</v>
      </c>
      <c r="M13" s="242" t="s">
        <v>69</v>
      </c>
    </row>
    <row r="14" spans="2:20" ht="15.75" thickBot="1" x14ac:dyDescent="0.3">
      <c r="B14" s="47" t="s">
        <v>36</v>
      </c>
      <c r="C14" s="237"/>
      <c r="D14" s="237"/>
      <c r="E14" s="237"/>
      <c r="F14" s="241"/>
      <c r="G14" s="237"/>
      <c r="H14" s="237"/>
      <c r="I14" s="237"/>
      <c r="J14" s="237"/>
      <c r="K14" s="237"/>
      <c r="L14" s="237"/>
      <c r="M14" s="243"/>
    </row>
    <row r="15" spans="2:20" x14ac:dyDescent="0.25">
      <c r="B15" s="2" t="s">
        <v>0</v>
      </c>
      <c r="C15" s="6"/>
      <c r="D15" s="2">
        <f>(5*((100+'General information'!$P$7+'General information'!$P$8+'General information'!$P$9)-'General information'!L8)/100)*C15</f>
        <v>0</v>
      </c>
      <c r="E15" s="2">
        <f>(D15*20)/100</f>
        <v>0</v>
      </c>
      <c r="F15" s="2">
        <f>C15*'General information'!$C$2</f>
        <v>0</v>
      </c>
      <c r="G15" s="2">
        <f>E15*Airplanes!$M$24</f>
        <v>0</v>
      </c>
      <c r="H15" s="2">
        <f>F15+G15</f>
        <v>0</v>
      </c>
      <c r="I15" s="2">
        <f>IFERROR((H15)/D15,0)</f>
        <v>0</v>
      </c>
      <c r="J15" s="16">
        <f>IF(D15=0,0,I15+$N$25)</f>
        <v>0</v>
      </c>
      <c r="K15" s="2">
        <f>($M$25-$N$25)*D15</f>
        <v>0</v>
      </c>
      <c r="L15" s="2">
        <f>K15-H15</f>
        <v>0</v>
      </c>
      <c r="M15" s="14">
        <f>IFERROR((IF(ISERROR(($M$25-$N$25)/I15),0,(($M$25-$N$25)/I15))-IF((($M$25-$N$25)/I15)&lt;0,0,1)),0)</f>
        <v>0</v>
      </c>
    </row>
    <row r="16" spans="2:20" x14ac:dyDescent="0.25">
      <c r="B16" s="2" t="s">
        <v>1</v>
      </c>
      <c r="C16" s="6"/>
      <c r="D16" s="2">
        <f>(5*((100+'General information'!$P$7+'General information'!$P$8+'General information'!$P$9)-'General information'!L9)/100)*C16</f>
        <v>0</v>
      </c>
      <c r="E16" s="2">
        <f>(D16*40)/100</f>
        <v>0</v>
      </c>
      <c r="F16" s="2">
        <f>C16*'General information'!$C$2</f>
        <v>0</v>
      </c>
      <c r="G16" s="2">
        <f>E16*Airplanes!$M$24</f>
        <v>0</v>
      </c>
      <c r="H16" s="2">
        <f>F16+G16</f>
        <v>0</v>
      </c>
      <c r="I16" s="2">
        <f>IFERROR((H16)/D16,0)</f>
        <v>0</v>
      </c>
      <c r="J16" s="16">
        <f>IF(D16=0,0,I16+$N$26)</f>
        <v>0</v>
      </c>
      <c r="K16" s="2">
        <f>($M$26-$N$26)*D16</f>
        <v>0</v>
      </c>
      <c r="L16" s="2">
        <f>K16-H16</f>
        <v>0</v>
      </c>
      <c r="M16" s="14">
        <f>IFERROR((IF(ISERROR(($M$26-$N$26)/I16),0,(($M$26-$N$26)/I16))-IF((($M$26-$N$26)/I16)&lt;0,0,1)),0)</f>
        <v>0</v>
      </c>
    </row>
    <row r="17" spans="2:18" x14ac:dyDescent="0.25">
      <c r="B17" s="2" t="s">
        <v>2</v>
      </c>
      <c r="C17" s="6"/>
      <c r="D17" s="2">
        <f>(5*((100+'General information'!$P$7+'General information'!$P$8+'General information'!$P$9)-'General information'!L10)/100)*C17</f>
        <v>0</v>
      </c>
      <c r="E17" s="2">
        <f>(D17*60)/100</f>
        <v>0</v>
      </c>
      <c r="F17" s="2">
        <f>C17*'General information'!$C$2</f>
        <v>0</v>
      </c>
      <c r="G17" s="2">
        <f>E17*Airplanes!$M$24</f>
        <v>0</v>
      </c>
      <c r="H17" s="2">
        <f>F17+G17</f>
        <v>0</v>
      </c>
      <c r="I17" s="2">
        <f>IFERROR((H17)/D17,0)</f>
        <v>0</v>
      </c>
      <c r="J17" s="16">
        <f>IF(D17=0,0,I17+$N$27)</f>
        <v>0</v>
      </c>
      <c r="K17" s="2">
        <f>($M$27-$N$27)*D17</f>
        <v>0</v>
      </c>
      <c r="L17" s="2">
        <f>K17-H17</f>
        <v>0</v>
      </c>
      <c r="M17" s="14">
        <f>IFERROR((IF(ISERROR(($M$27-$N$27)/I17),0,(($M$27-$N$27)/I17))-IF((($M$27-$N$27)/I17)&lt;0,0,1)),0)</f>
        <v>0</v>
      </c>
    </row>
    <row r="18" spans="2:18" x14ac:dyDescent="0.25">
      <c r="B18" s="2" t="s">
        <v>3</v>
      </c>
      <c r="C18" s="6"/>
      <c r="D18" s="2">
        <f>(5*((100+'General information'!$P$7+'General information'!$P$8+'General information'!$P$9)-'General information'!L11)/100)*C18</f>
        <v>0</v>
      </c>
      <c r="E18" s="2">
        <f>(D18*80)/100</f>
        <v>0</v>
      </c>
      <c r="F18" s="2">
        <f>C18*'General information'!$C$2</f>
        <v>0</v>
      </c>
      <c r="G18" s="2">
        <f>E18*Airplanes!$M$24</f>
        <v>0</v>
      </c>
      <c r="H18" s="2">
        <f>F18+G18</f>
        <v>0</v>
      </c>
      <c r="I18" s="2">
        <f>IFERROR((H18)/D18,0)</f>
        <v>0</v>
      </c>
      <c r="J18" s="16">
        <f>IF(D18=0,0,I18+$N$28)</f>
        <v>0</v>
      </c>
      <c r="K18" s="2">
        <f>($M$28-$N$28)*D18</f>
        <v>0</v>
      </c>
      <c r="L18" s="2">
        <f>K18-H18</f>
        <v>0</v>
      </c>
      <c r="M18" s="14">
        <f>IFERROR((IF(ISERROR(($M$28-$N$28)/I18),0,(($M$28-$N$28)/I18))-IF((($M$28-$N$28)/I18)&lt;0,0,1)),0)</f>
        <v>0</v>
      </c>
    </row>
    <row r="19" spans="2:18" x14ac:dyDescent="0.25">
      <c r="B19" s="2" t="s">
        <v>4</v>
      </c>
      <c r="C19" s="6"/>
      <c r="D19" s="2">
        <f>(5*((100+'General information'!$P$7+'General information'!$P$8+'General information'!$P$9)-'General information'!L12)/100)*C19</f>
        <v>0</v>
      </c>
      <c r="E19" s="2">
        <f>(D19*100)/100</f>
        <v>0</v>
      </c>
      <c r="F19" s="2">
        <f>C19*'General information'!$C$2</f>
        <v>0</v>
      </c>
      <c r="G19" s="2">
        <f>E19*Airplanes!$M$24</f>
        <v>0</v>
      </c>
      <c r="H19" s="2">
        <f>F19+G19</f>
        <v>0</v>
      </c>
      <c r="I19" s="2">
        <f>IFERROR((H19)/D19,0)</f>
        <v>0</v>
      </c>
      <c r="J19" s="16">
        <f>IF(D19=0,0,I19+$N$29)</f>
        <v>0</v>
      </c>
      <c r="K19" s="2">
        <f>($M$29-$N$29)*D19</f>
        <v>0</v>
      </c>
      <c r="L19" s="2">
        <f>K19-H19</f>
        <v>0</v>
      </c>
      <c r="M19" s="14">
        <f>IFERROR((IF(ISERROR(($M$29-$N$29)/I19),0,(($M$29-$N$29)/I19))-IF((($M$29-$N$29)/I19)&lt;0,0,1)),0)</f>
        <v>0</v>
      </c>
    </row>
    <row r="20" spans="2:18" x14ac:dyDescent="0.25">
      <c r="B20" s="132" t="s">
        <v>10</v>
      </c>
      <c r="C20" s="132"/>
      <c r="D20" s="132"/>
      <c r="E20" s="3">
        <f>SUM(E15:E19)</f>
        <v>0</v>
      </c>
      <c r="F20" s="3">
        <f>SUM(F15:F19)</f>
        <v>0</v>
      </c>
      <c r="G20" s="3">
        <f>SUM(G15:G19)</f>
        <v>0</v>
      </c>
      <c r="H20" s="3">
        <f>SUM(H15:H19)</f>
        <v>0</v>
      </c>
      <c r="I20" s="3"/>
      <c r="J20" s="3"/>
      <c r="K20" s="3">
        <f>SUM(K15:K19)</f>
        <v>0</v>
      </c>
      <c r="L20" s="8">
        <f>SUM(L15:L19)</f>
        <v>0</v>
      </c>
      <c r="M20" s="1"/>
    </row>
    <row r="21" spans="2:18" ht="15.75" thickBot="1" x14ac:dyDescent="0.3">
      <c r="L21" s="1"/>
      <c r="M21" s="1"/>
      <c r="Q21"/>
    </row>
    <row r="22" spans="2:18" ht="21.75" thickBot="1" x14ac:dyDescent="0.3">
      <c r="B22" s="258" t="s">
        <v>14</v>
      </c>
      <c r="C22" s="253"/>
      <c r="D22" s="253"/>
      <c r="E22" s="253"/>
      <c r="F22" s="253"/>
      <c r="G22" s="253"/>
      <c r="H22" s="253"/>
      <c r="I22" s="253"/>
      <c r="J22" s="253"/>
      <c r="L22" s="259" t="s">
        <v>70</v>
      </c>
      <c r="M22" s="260"/>
      <c r="N22" s="260"/>
      <c r="O22" s="260"/>
      <c r="P22" s="260"/>
      <c r="Q22" s="260"/>
      <c r="R22" s="261"/>
    </row>
    <row r="23" spans="2:18" ht="15.75" thickBot="1" x14ac:dyDescent="0.3">
      <c r="B23" s="46" t="s">
        <v>25</v>
      </c>
      <c r="C23" s="236" t="s">
        <v>37</v>
      </c>
      <c r="D23" s="236" t="s">
        <v>38</v>
      </c>
      <c r="E23" s="240" t="s">
        <v>50</v>
      </c>
      <c r="F23" s="236" t="s">
        <v>45</v>
      </c>
      <c r="G23" s="236" t="s">
        <v>47</v>
      </c>
      <c r="H23" s="242" t="s">
        <v>52</v>
      </c>
      <c r="I23" s="236" t="s">
        <v>48</v>
      </c>
      <c r="J23" s="242" t="s">
        <v>53</v>
      </c>
      <c r="L23" s="47" t="s">
        <v>36</v>
      </c>
      <c r="M23" s="153" t="s">
        <v>55</v>
      </c>
      <c r="N23" s="187" t="s">
        <v>34</v>
      </c>
      <c r="O23" s="153" t="s">
        <v>56</v>
      </c>
      <c r="P23" s="153" t="s">
        <v>57</v>
      </c>
      <c r="Q23" s="153" t="s">
        <v>58</v>
      </c>
      <c r="R23" s="89" t="s">
        <v>59</v>
      </c>
    </row>
    <row r="24" spans="2:18" ht="15.75" thickBot="1" x14ac:dyDescent="0.3">
      <c r="B24" s="47" t="s">
        <v>36</v>
      </c>
      <c r="C24" s="237"/>
      <c r="D24" s="237"/>
      <c r="E24" s="241"/>
      <c r="F24" s="237"/>
      <c r="G24" s="237"/>
      <c r="H24" s="243"/>
      <c r="I24" s="237"/>
      <c r="J24" s="243"/>
      <c r="L24" s="79" t="s">
        <v>8</v>
      </c>
      <c r="M24" s="45"/>
      <c r="N24" s="80">
        <f>M24*'General information'!$P$14%</f>
        <v>0</v>
      </c>
      <c r="O24" s="45"/>
      <c r="P24" s="80">
        <f t="shared" ref="P24:P29" si="0">M24*O24</f>
        <v>0</v>
      </c>
      <c r="Q24" s="81">
        <f>O24*N24</f>
        <v>0</v>
      </c>
      <c r="R24" s="82">
        <f>P24-Q24</f>
        <v>0</v>
      </c>
    </row>
    <row r="25" spans="2:18" x14ac:dyDescent="0.25">
      <c r="B25" s="2" t="s">
        <v>0</v>
      </c>
      <c r="C25" s="6"/>
      <c r="D25" s="2">
        <f>((35*((100+'General information'!$O$7+'General information'!$O$8+'General information'!$O$9)-'General information'!$K$7)/100)*C25)/100</f>
        <v>0</v>
      </c>
      <c r="E25" s="2">
        <f>C25*'General information'!$C$2</f>
        <v>0</v>
      </c>
      <c r="F25" s="9">
        <f t="shared" ref="F25:F30" si="1">IF(ISERROR(E25/D25),0,E25/D25)</f>
        <v>0</v>
      </c>
      <c r="G25" s="2">
        <f>D25*(Airplanes!$M$24-$N$24)</f>
        <v>0</v>
      </c>
      <c r="H25" s="69">
        <f>IF(D25=0,0,(($M$24*'General information'!$P$14%)*D25))</f>
        <v>0</v>
      </c>
      <c r="I25" s="2">
        <f>G25-E25</f>
        <v>0</v>
      </c>
      <c r="J25" s="14">
        <f>IFERROR(IF(ISERROR(G25/((E25+H25))),0,(G25/(E25+H25)))-IF((G25/(E25+H25))&lt;0,0,1),0)</f>
        <v>0</v>
      </c>
      <c r="L25" s="79" t="s">
        <v>0</v>
      </c>
      <c r="M25" s="45"/>
      <c r="N25" s="81">
        <f>(M25*'General information'!$P$13%)+(M25*'General information'!$P$14%)</f>
        <v>0</v>
      </c>
      <c r="O25" s="45"/>
      <c r="P25" s="81">
        <f t="shared" si="0"/>
        <v>0</v>
      </c>
      <c r="Q25" s="81">
        <f>((M25*'General information'!$P$13%)+(M25*'General information'!V34%))*O25</f>
        <v>0</v>
      </c>
      <c r="R25" s="82">
        <f t="shared" ref="R25:R29" si="2">P25-Q25</f>
        <v>0</v>
      </c>
    </row>
    <row r="26" spans="2:18" x14ac:dyDescent="0.25">
      <c r="B26" s="2" t="s">
        <v>1</v>
      </c>
      <c r="C26" s="6"/>
      <c r="D26" s="2">
        <f>((70*((100+'General information'!$O$7+'General information'!$O$8+'General information'!$O$9)-'General information'!$K$7)/100)*C26)/100</f>
        <v>0</v>
      </c>
      <c r="E26" s="2">
        <f>C26*'General information'!$C$2</f>
        <v>0</v>
      </c>
      <c r="F26" s="9">
        <f t="shared" si="1"/>
        <v>0</v>
      </c>
      <c r="G26" s="2">
        <f>D26*(Airplanes!$M$24-$N$24)</f>
        <v>0</v>
      </c>
      <c r="H26" s="69">
        <f>IF(D26=0,0,(($M$24*'General information'!$P$14%)*D26))</f>
        <v>0</v>
      </c>
      <c r="I26" s="2">
        <f>G26-E26</f>
        <v>0</v>
      </c>
      <c r="J26" s="14">
        <f>IFERROR(IF(ISERROR(G26/((E26+H26))),0,(G26/(E26+H26)))-IF((G26/(E26+H26))&lt;0,0,1),0)</f>
        <v>0</v>
      </c>
      <c r="L26" s="79" t="s">
        <v>1</v>
      </c>
      <c r="M26" s="45"/>
      <c r="N26" s="81">
        <f>(M26*'General information'!$P$13%)+(M26*'General information'!$P$14%)</f>
        <v>0</v>
      </c>
      <c r="O26" s="45"/>
      <c r="P26" s="81">
        <f t="shared" si="0"/>
        <v>0</v>
      </c>
      <c r="Q26" s="81">
        <f>((M26*'General information'!$P$13%)+(M26*'General information'!V35%))*O26</f>
        <v>0</v>
      </c>
      <c r="R26" s="82">
        <f t="shared" si="2"/>
        <v>0</v>
      </c>
    </row>
    <row r="27" spans="2:18" x14ac:dyDescent="0.25">
      <c r="B27" s="2" t="s">
        <v>2</v>
      </c>
      <c r="C27" s="6"/>
      <c r="D27" s="2">
        <f>((125*((100+'General information'!$O$7+'General information'!$O$8+'General information'!$O$9)-'General information'!$K$7)/100)*C27)/100</f>
        <v>0</v>
      </c>
      <c r="E27" s="2">
        <f>C27*'General information'!$C$2</f>
        <v>0</v>
      </c>
      <c r="F27" s="9">
        <f t="shared" si="1"/>
        <v>0</v>
      </c>
      <c r="G27" s="2">
        <f>D27*(Airplanes!$M$24-$N$24)</f>
        <v>0</v>
      </c>
      <c r="H27" s="69">
        <f>IF(D27=0,0,(($M$24*'General information'!$P$14%)*D27))</f>
        <v>0</v>
      </c>
      <c r="I27" s="2">
        <f>G27-E27</f>
        <v>0</v>
      </c>
      <c r="J27" s="14">
        <f>IFERROR(IF(ISERROR(G27/((E27+H27))),0,(G27/(E27+H27)))-IF((G27/(E27+H27))&lt;0,0,1),0)</f>
        <v>0</v>
      </c>
      <c r="L27" s="79" t="s">
        <v>2</v>
      </c>
      <c r="M27" s="45"/>
      <c r="N27" s="81">
        <f>(M27*'General information'!$P$13%)+(M27*'General information'!$P$14%)</f>
        <v>0</v>
      </c>
      <c r="O27" s="45"/>
      <c r="P27" s="81">
        <f t="shared" si="0"/>
        <v>0</v>
      </c>
      <c r="Q27" s="81">
        <f>((M27*'General information'!$P$13%)+(M27*'General information'!V36%))*O27</f>
        <v>0</v>
      </c>
      <c r="R27" s="82">
        <f t="shared" si="2"/>
        <v>0</v>
      </c>
    </row>
    <row r="28" spans="2:18" x14ac:dyDescent="0.25">
      <c r="B28" s="2" t="s">
        <v>3</v>
      </c>
      <c r="C28" s="6"/>
      <c r="D28" s="2">
        <f>((175*((100+'General information'!$O$7+'General information'!$O$8+'General information'!$O$9)-'General information'!$K$7)/100)*C28)/100</f>
        <v>0</v>
      </c>
      <c r="E28" s="2">
        <f>C28*'General information'!$C$2</f>
        <v>0</v>
      </c>
      <c r="F28" s="9">
        <f t="shared" si="1"/>
        <v>0</v>
      </c>
      <c r="G28" s="2">
        <f>D28*(Airplanes!$M$24-$N$24)</f>
        <v>0</v>
      </c>
      <c r="H28" s="69">
        <f>IF(D28=0,0,(($M$24*'General information'!$P$14%)*D28))</f>
        <v>0</v>
      </c>
      <c r="I28" s="2">
        <f>G28-E28</f>
        <v>0</v>
      </c>
      <c r="J28" s="14">
        <f>IFERROR(IF(ISERROR(G28/((E28+H28))),0,(G28/(E28+H28)))-IF((G28/(E28+H28))&lt;0,0,1),0)</f>
        <v>0</v>
      </c>
      <c r="L28" s="79" t="s">
        <v>3</v>
      </c>
      <c r="M28" s="45"/>
      <c r="N28" s="81">
        <f>(M28*'General information'!$P$13%)+(M28*'General information'!$P$14%)</f>
        <v>0</v>
      </c>
      <c r="O28" s="45"/>
      <c r="P28" s="81">
        <f t="shared" si="0"/>
        <v>0</v>
      </c>
      <c r="Q28" s="81">
        <f>((M28*'General information'!$P$13%)+(M28*'General information'!V37%))*O28</f>
        <v>0</v>
      </c>
      <c r="R28" s="82">
        <f t="shared" si="2"/>
        <v>0</v>
      </c>
    </row>
    <row r="29" spans="2:18" x14ac:dyDescent="0.25">
      <c r="B29" s="2" t="s">
        <v>4</v>
      </c>
      <c r="C29" s="6"/>
      <c r="D29" s="119">
        <f>((250*((100+'General information'!$O$7+'General information'!$O$8+'General information'!$O$9)-'General information'!$K$7)/100)*C29)/100</f>
        <v>0</v>
      </c>
      <c r="E29" s="2">
        <f>C29*'General information'!$C$2</f>
        <v>0</v>
      </c>
      <c r="F29" s="9">
        <f t="shared" si="1"/>
        <v>0</v>
      </c>
      <c r="G29" s="2">
        <f>D29*(Airplanes!$M$24-$N$24)</f>
        <v>0</v>
      </c>
      <c r="H29" s="69">
        <f>IF(D29=0,0,(($M$24*'General information'!$P$14%)*D29))</f>
        <v>0</v>
      </c>
      <c r="I29" s="2">
        <f>G29-E29</f>
        <v>0</v>
      </c>
      <c r="J29" s="14">
        <f>IFERROR(IF(ISERROR(G29/((E29+H29))),0,(G29/(E29+H29)))-IF((G29/(E29+H29))&lt;0,0,1),0)</f>
        <v>0</v>
      </c>
      <c r="L29" s="79" t="s">
        <v>4</v>
      </c>
      <c r="M29" s="45"/>
      <c r="N29" s="81">
        <f>(M29*'General information'!$P$13%)+(M29*'General information'!$P$14%)</f>
        <v>0</v>
      </c>
      <c r="O29" s="45"/>
      <c r="P29" s="81">
        <f t="shared" si="0"/>
        <v>0</v>
      </c>
      <c r="Q29" s="81">
        <f>((M29*'General information'!$P$13%)+(M29*'General information'!V38%))*O29</f>
        <v>0</v>
      </c>
      <c r="R29" s="82">
        <f t="shared" si="2"/>
        <v>0</v>
      </c>
    </row>
    <row r="30" spans="2:18" ht="15.75" thickBot="1" x14ac:dyDescent="0.3">
      <c r="B30" s="132" t="s">
        <v>10</v>
      </c>
      <c r="C30" s="132"/>
      <c r="D30" s="3">
        <f>SUM(D25:D29)</f>
        <v>0</v>
      </c>
      <c r="E30" s="3">
        <f>SUM(E25:E29)</f>
        <v>0</v>
      </c>
      <c r="F30" s="11">
        <f t="shared" si="1"/>
        <v>0</v>
      </c>
      <c r="G30" s="3">
        <f>SUM(G25:G29)</f>
        <v>0</v>
      </c>
      <c r="H30" s="86">
        <f>SUM(H25:H29)</f>
        <v>0</v>
      </c>
      <c r="I30" s="2">
        <f>SUM(I25:I29)</f>
        <v>0</v>
      </c>
      <c r="L30" s="64"/>
      <c r="M30" s="55"/>
      <c r="N30" s="88">
        <f>SUM(N24:N29)</f>
        <v>0</v>
      </c>
      <c r="O30" s="55"/>
      <c r="P30" s="88">
        <f>SUM(P24:P29)</f>
        <v>0</v>
      </c>
      <c r="Q30" s="89">
        <f>SUM(Q24:Q29)</f>
        <v>0</v>
      </c>
      <c r="R30" s="89">
        <f>SUM(R24:R29)</f>
        <v>0</v>
      </c>
    </row>
    <row r="31" spans="2:18" ht="15.75" thickBot="1" x14ac:dyDescent="0.3"/>
    <row r="32" spans="2:18" ht="21.75" thickBot="1" x14ac:dyDescent="0.3">
      <c r="B32" s="258" t="s">
        <v>15</v>
      </c>
      <c r="C32" s="253"/>
      <c r="D32" s="253"/>
      <c r="E32" s="253"/>
      <c r="F32" s="253"/>
      <c r="G32" s="253"/>
      <c r="H32" s="253"/>
      <c r="I32" s="253"/>
      <c r="J32" s="253"/>
      <c r="M32" s="312" t="s">
        <v>8</v>
      </c>
      <c r="N32" s="164" t="s">
        <v>60</v>
      </c>
      <c r="O32" s="90" t="s">
        <v>61</v>
      </c>
    </row>
    <row r="33" spans="2:16" ht="15" customHeight="1" x14ac:dyDescent="0.25">
      <c r="B33" s="46" t="s">
        <v>25</v>
      </c>
      <c r="C33" s="236" t="s">
        <v>37</v>
      </c>
      <c r="D33" s="236" t="s">
        <v>38</v>
      </c>
      <c r="E33" s="240" t="s">
        <v>50</v>
      </c>
      <c r="F33" s="236" t="s">
        <v>45</v>
      </c>
      <c r="G33" s="236" t="s">
        <v>47</v>
      </c>
      <c r="H33" s="242" t="s">
        <v>52</v>
      </c>
      <c r="I33" s="236" t="s">
        <v>48</v>
      </c>
      <c r="J33" s="242" t="s">
        <v>53</v>
      </c>
      <c r="L33" s="170" t="s">
        <v>38</v>
      </c>
      <c r="M33" s="307">
        <f>D30+D40</f>
        <v>0</v>
      </c>
      <c r="N33" s="308">
        <f>M33*((F30+F40)/2)</f>
        <v>0</v>
      </c>
      <c r="O33" s="309">
        <f>IF(ISERROR(N33/M33),0,N33/M33)</f>
        <v>0</v>
      </c>
    </row>
    <row r="34" spans="2:16" ht="15.75" thickBot="1" x14ac:dyDescent="0.3">
      <c r="B34" s="47" t="s">
        <v>36</v>
      </c>
      <c r="C34" s="237"/>
      <c r="D34" s="237"/>
      <c r="E34" s="241"/>
      <c r="F34" s="237"/>
      <c r="G34" s="237"/>
      <c r="H34" s="243"/>
      <c r="I34" s="237"/>
      <c r="J34" s="243"/>
      <c r="L34" s="92" t="s">
        <v>63</v>
      </c>
      <c r="M34" s="310">
        <f>IF(M35&gt;M33,M35-M33,0)</f>
        <v>0</v>
      </c>
      <c r="N34" s="126">
        <f>M24*M34</f>
        <v>0</v>
      </c>
      <c r="O34" s="127">
        <f>IF(ISERROR(N34/M34),0,N34/M34)</f>
        <v>0</v>
      </c>
    </row>
    <row r="35" spans="2:16" ht="15.75" thickBot="1" x14ac:dyDescent="0.3">
      <c r="B35" s="2" t="s">
        <v>0</v>
      </c>
      <c r="C35" s="6"/>
      <c r="D35" s="2">
        <f>((35*((100+'General information'!$P$7+'General information'!$P$8+'General information'!$P$9)-'General information'!$L$7)/100)*C35)/100</f>
        <v>0</v>
      </c>
      <c r="E35" s="2">
        <f>C35*'General information'!$C$2</f>
        <v>0</v>
      </c>
      <c r="F35" s="9">
        <f t="shared" ref="F35:F40" si="3">IF(ISERROR(E35/D35),0,E35/D35)</f>
        <v>0</v>
      </c>
      <c r="G35" s="2">
        <f>D35*Airplanes!$M$24</f>
        <v>0</v>
      </c>
      <c r="H35" s="69">
        <f>IF(D35=0,0,(($M$24*'General information'!$P$14%)*D35))</f>
        <v>0</v>
      </c>
      <c r="I35" s="2">
        <f>G35-(E35+H35)</f>
        <v>0</v>
      </c>
      <c r="J35" s="14">
        <f>IFERROR(IF(ISERROR(G35/((E35+H35))),0,(G35/(E35+H35)))-IF((G35/(E35+H35))&lt;0,0,1),0)</f>
        <v>0</v>
      </c>
      <c r="L35" s="91" t="s">
        <v>62</v>
      </c>
      <c r="M35" s="311">
        <f>E10+E20</f>
        <v>0</v>
      </c>
      <c r="N35" s="10">
        <f>N33+N34</f>
        <v>0</v>
      </c>
      <c r="O35" s="15">
        <f>IF(M35&gt;M33,((M33/M35*O33)+(M34/M35*O34)),O33)</f>
        <v>0</v>
      </c>
    </row>
    <row r="36" spans="2:16" ht="15.75" thickBot="1" x14ac:dyDescent="0.3">
      <c r="B36" s="2" t="s">
        <v>1</v>
      </c>
      <c r="C36" s="6"/>
      <c r="D36" s="2">
        <f>((70*((100+'General information'!$P$7+'General information'!$P$8+'General information'!$P$9)-'General information'!$L$7)/100)*C36)/100</f>
        <v>0</v>
      </c>
      <c r="E36" s="2">
        <f>C36*'General information'!$C$2</f>
        <v>0</v>
      </c>
      <c r="F36" s="9">
        <f t="shared" si="3"/>
        <v>0</v>
      </c>
      <c r="G36" s="2">
        <f>D36*Airplanes!$M$24</f>
        <v>0</v>
      </c>
      <c r="H36" s="69">
        <f>IF(D36=0,0,(($M$24*'General information'!$P$14%)*D36))</f>
        <v>0</v>
      </c>
      <c r="I36" s="2">
        <f>G36-(E36+H36)</f>
        <v>0</v>
      </c>
      <c r="J36" s="14">
        <f>IFERROR(IF(ISERROR(G36/((E36+H36))),0,(G36/(E36+H36)))-IF((G36/(E36+H36))&lt;0,0,1),0)</f>
        <v>0</v>
      </c>
      <c r="L36" s="158" t="s">
        <v>64</v>
      </c>
      <c r="M36" s="306">
        <f>M33-M35</f>
        <v>0</v>
      </c>
      <c r="N36"/>
      <c r="O36"/>
    </row>
    <row r="37" spans="2:16" x14ac:dyDescent="0.25">
      <c r="B37" s="2" t="s">
        <v>2</v>
      </c>
      <c r="C37" s="6"/>
      <c r="D37" s="2">
        <f>((125*((100+'General information'!$P$7+'General information'!$P$8+'General information'!$P$9)-'General information'!$L$7)/100)*C37)/100</f>
        <v>0</v>
      </c>
      <c r="E37" s="2">
        <f>C37*'General information'!$C$2</f>
        <v>0</v>
      </c>
      <c r="F37" s="9">
        <f t="shared" si="3"/>
        <v>0</v>
      </c>
      <c r="G37" s="2">
        <f>D37*Airplanes!$M$24</f>
        <v>0</v>
      </c>
      <c r="H37" s="69">
        <f>IF(D37=0,0,(($M$24*'General information'!$P$14%)*D37))</f>
        <v>0</v>
      </c>
      <c r="I37" s="2">
        <f>G37-(E37+H37)</f>
        <v>0</v>
      </c>
      <c r="J37" s="14">
        <f>IFERROR(IF(ISERROR(G37/((E37+H37))),0,(G37/(E37+H37)))-IF((G37/(E37+H37))&lt;0,0,1),0)</f>
        <v>0</v>
      </c>
    </row>
    <row r="38" spans="2:16" x14ac:dyDescent="0.25">
      <c r="B38" s="2" t="s">
        <v>3</v>
      </c>
      <c r="C38" s="6"/>
      <c r="D38" s="2">
        <f>((175*((100+'General information'!$P$7+'General information'!$P$8+'General information'!$P$9)-'General information'!$L$7)/100)*C38)/100</f>
        <v>0</v>
      </c>
      <c r="E38" s="2">
        <f>C38*'General information'!$C$2</f>
        <v>0</v>
      </c>
      <c r="F38" s="9">
        <f t="shared" si="3"/>
        <v>0</v>
      </c>
      <c r="G38" s="2">
        <f>D38*Airplanes!$M$24</f>
        <v>0</v>
      </c>
      <c r="H38" s="69">
        <f>IF(D38=0,0,(($M$24*'General information'!$P$14%)*D38))</f>
        <v>0</v>
      </c>
      <c r="I38" s="2">
        <f>G38-(E38+H38)</f>
        <v>0</v>
      </c>
      <c r="J38" s="14">
        <f>IFERROR(IF(ISERROR(G38/((E38+H38))),0,(G38/(E38+H38)))-IF((G38/(E38+H38))&lt;0,0,1),0)</f>
        <v>0</v>
      </c>
    </row>
    <row r="39" spans="2:16" x14ac:dyDescent="0.25">
      <c r="B39" s="2" t="s">
        <v>4</v>
      </c>
      <c r="C39" s="6"/>
      <c r="D39" s="2">
        <f>((250*((100+'General information'!$P$7+'General information'!$P$8+'General information'!$P$9)-'General information'!$L$7)/100)*C39)/100</f>
        <v>0</v>
      </c>
      <c r="E39" s="2">
        <f>C39*'General information'!$C$2</f>
        <v>0</v>
      </c>
      <c r="F39" s="9">
        <f t="shared" si="3"/>
        <v>0</v>
      </c>
      <c r="G39" s="2">
        <f>D39*Airplanes!$M$24</f>
        <v>0</v>
      </c>
      <c r="H39" s="69">
        <f>IF(D39=0,0,(($M$24*'General information'!$P$14%)*D39))</f>
        <v>0</v>
      </c>
      <c r="I39" s="2">
        <f>G39-(E39+H39)</f>
        <v>0</v>
      </c>
      <c r="J39" s="14">
        <f>IFERROR(IF(ISERROR(G39/((E39+H39))),0,(G39/(E39+H39)))-IF((G39/(E39+H39))&lt;0,0,1),0)</f>
        <v>0</v>
      </c>
    </row>
    <row r="40" spans="2:16" ht="15.75" thickBot="1" x14ac:dyDescent="0.3">
      <c r="B40" s="132" t="s">
        <v>10</v>
      </c>
      <c r="C40" s="132"/>
      <c r="D40" s="3">
        <f>SUM(D35:D39)</f>
        <v>0</v>
      </c>
      <c r="E40" s="3">
        <f>SUM(E35:E39)</f>
        <v>0</v>
      </c>
      <c r="F40" s="11">
        <f t="shared" si="3"/>
        <v>0</v>
      </c>
      <c r="G40" s="3">
        <f>SUM(G35:G39)</f>
        <v>0</v>
      </c>
      <c r="H40" s="86">
        <f>SUM(H35:H39)</f>
        <v>0</v>
      </c>
      <c r="I40" s="2">
        <f>SUM(I35:I39)</f>
        <v>0</v>
      </c>
    </row>
    <row r="41" spans="2:16" x14ac:dyDescent="0.25">
      <c r="P41"/>
    </row>
  </sheetData>
  <sheetProtection sheet="1" objects="1" scenarios="1"/>
  <mergeCells count="43">
    <mergeCell ref="F23:F24"/>
    <mergeCell ref="C3:C4"/>
    <mergeCell ref="K13:K14"/>
    <mergeCell ref="K3:K4"/>
    <mergeCell ref="L22:R22"/>
    <mergeCell ref="I13:I14"/>
    <mergeCell ref="J13:J14"/>
    <mergeCell ref="D3:D4"/>
    <mergeCell ref="E3:E4"/>
    <mergeCell ref="F3:F4"/>
    <mergeCell ref="G3:G4"/>
    <mergeCell ref="B2:M2"/>
    <mergeCell ref="B12:M12"/>
    <mergeCell ref="B22:J22"/>
    <mergeCell ref="H3:H4"/>
    <mergeCell ref="I3:I4"/>
    <mergeCell ref="J3:J4"/>
    <mergeCell ref="L3:L4"/>
    <mergeCell ref="M3:M4"/>
    <mergeCell ref="L13:L14"/>
    <mergeCell ref="M13:M14"/>
    <mergeCell ref="C13:C14"/>
    <mergeCell ref="D13:D14"/>
    <mergeCell ref="E13:E14"/>
    <mergeCell ref="F13:F14"/>
    <mergeCell ref="G13:G14"/>
    <mergeCell ref="H13:H14"/>
    <mergeCell ref="I33:I34"/>
    <mergeCell ref="J33:J34"/>
    <mergeCell ref="H23:H24"/>
    <mergeCell ref="H33:H34"/>
    <mergeCell ref="C33:C34"/>
    <mergeCell ref="D33:D34"/>
    <mergeCell ref="E33:E34"/>
    <mergeCell ref="F33:F34"/>
    <mergeCell ref="G33:G34"/>
    <mergeCell ref="B32:J32"/>
    <mergeCell ref="G23:G24"/>
    <mergeCell ref="I23:I24"/>
    <mergeCell ref="J23:J24"/>
    <mergeCell ref="C23:C24"/>
    <mergeCell ref="D23:D24"/>
    <mergeCell ref="E23:E24"/>
  </mergeCells>
  <conditionalFormatting sqref="L5:L9 I25:I30">
    <cfRule type="colorScale" priority="12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10">
    <cfRule type="colorScale" priority="12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5">
    <cfRule type="colorScale" priority="10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15:L19">
    <cfRule type="colorScale" priority="9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20">
    <cfRule type="colorScale" priority="9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6">
    <cfRule type="colorScale" priority="7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7">
    <cfRule type="colorScale" priority="7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8">
    <cfRule type="colorScale" priority="7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9">
    <cfRule type="colorScale" priority="7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I35:I40">
    <cfRule type="colorScale" priority="7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5">
    <cfRule type="colorScale" priority="7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6">
    <cfRule type="colorScale" priority="7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7">
    <cfRule type="colorScale" priority="6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8">
    <cfRule type="colorScale" priority="6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9">
    <cfRule type="colorScale" priority="6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5">
    <cfRule type="colorScale" priority="6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6">
    <cfRule type="colorScale" priority="5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7">
    <cfRule type="colorScale" priority="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8">
    <cfRule type="colorScale" priority="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9">
    <cfRule type="colorScale" priority="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5">
    <cfRule type="colorScale" priority="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6">
    <cfRule type="colorScale" priority="5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7">
    <cfRule type="colorScale" priority="5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8">
    <cfRule type="colorScale" priority="4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9">
    <cfRule type="colorScale" priority="4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6">
    <cfRule type="colorScale" priority="1">
      <colorScale>
        <cfvo type="num" val="-0.01"/>
        <cfvo type="num" val="0"/>
        <cfvo type="num" val="0.01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B1:Z64"/>
  <sheetViews>
    <sheetView showGridLines="0" topLeftCell="B16" workbookViewId="0">
      <selection activeCell="B36" sqref="B36:M36"/>
    </sheetView>
  </sheetViews>
  <sheetFormatPr defaultRowHeight="15" x14ac:dyDescent="0.25"/>
  <cols>
    <col min="1" max="1" width="1.28515625" customWidth="1"/>
    <col min="2" max="2" width="15.140625" bestFit="1" customWidth="1"/>
    <col min="3" max="3" width="9.85546875" bestFit="1" customWidth="1"/>
    <col min="4" max="4" width="13.85546875" bestFit="1" customWidth="1"/>
    <col min="5" max="5" width="11.5703125" bestFit="1" customWidth="1"/>
    <col min="6" max="6" width="14.85546875" bestFit="1" customWidth="1"/>
    <col min="7" max="7" width="14.28515625" bestFit="1" customWidth="1"/>
    <col min="8" max="8" width="14.85546875" bestFit="1" customWidth="1"/>
    <col min="9" max="10" width="17.140625" customWidth="1"/>
    <col min="11" max="11" width="18.5703125" customWidth="1"/>
    <col min="12" max="12" width="17.140625" customWidth="1"/>
    <col min="13" max="14" width="16.85546875" bestFit="1" customWidth="1"/>
    <col min="15" max="15" width="16.5703125" bestFit="1" customWidth="1"/>
    <col min="16" max="16" width="11.5703125" bestFit="1" customWidth="1"/>
    <col min="17" max="17" width="14.28515625" bestFit="1" customWidth="1"/>
    <col min="18" max="18" width="14.7109375" bestFit="1" customWidth="1"/>
    <col min="19" max="21" width="19" bestFit="1" customWidth="1"/>
    <col min="22" max="22" width="10.7109375" bestFit="1" customWidth="1"/>
    <col min="23" max="23" width="13.28515625" bestFit="1" customWidth="1"/>
    <col min="24" max="24" width="14" bestFit="1" customWidth="1"/>
    <col min="27" max="27" width="10.140625" bestFit="1" customWidth="1"/>
    <col min="28" max="28" width="11.42578125" bestFit="1" customWidth="1"/>
    <col min="29" max="29" width="10.7109375" bestFit="1" customWidth="1"/>
    <col min="30" max="30" width="8.28515625" bestFit="1" customWidth="1"/>
    <col min="31" max="31" width="14" bestFit="1" customWidth="1"/>
  </cols>
  <sheetData>
    <row r="1" spans="2:15" ht="6" customHeight="1" x14ac:dyDescent="0.25"/>
    <row r="2" spans="2:15" ht="21.75" thickBot="1" x14ac:dyDescent="0.3">
      <c r="B2" s="257" t="s">
        <v>14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</row>
    <row r="3" spans="2:15" ht="15" customHeight="1" x14ac:dyDescent="0.25">
      <c r="B3" s="122" t="s">
        <v>9</v>
      </c>
      <c r="C3" s="254" t="s">
        <v>65</v>
      </c>
      <c r="D3" s="236" t="s">
        <v>37</v>
      </c>
      <c r="E3" s="236" t="s">
        <v>38</v>
      </c>
      <c r="F3" s="236" t="s">
        <v>39</v>
      </c>
      <c r="G3" s="240" t="s">
        <v>50</v>
      </c>
      <c r="H3" s="256" t="s">
        <v>35</v>
      </c>
      <c r="I3" s="236" t="s">
        <v>44</v>
      </c>
      <c r="J3" s="236" t="s">
        <v>66</v>
      </c>
      <c r="K3" s="236" t="s">
        <v>45</v>
      </c>
      <c r="L3" s="236" t="s">
        <v>46</v>
      </c>
      <c r="M3" s="236" t="s">
        <v>47</v>
      </c>
      <c r="N3" s="236" t="s">
        <v>48</v>
      </c>
      <c r="O3" s="242" t="s">
        <v>71</v>
      </c>
    </row>
    <row r="4" spans="2:15" ht="15.75" thickBot="1" x14ac:dyDescent="0.3">
      <c r="B4" s="47" t="s">
        <v>36</v>
      </c>
      <c r="C4" s="255"/>
      <c r="D4" s="237"/>
      <c r="E4" s="237"/>
      <c r="F4" s="237"/>
      <c r="G4" s="241"/>
      <c r="H4" s="243"/>
      <c r="I4" s="237"/>
      <c r="J4" s="237"/>
      <c r="K4" s="237"/>
      <c r="L4" s="237"/>
      <c r="M4" s="237"/>
      <c r="N4" s="237"/>
      <c r="O4" s="243"/>
    </row>
    <row r="5" spans="2:15" x14ac:dyDescent="0.25">
      <c r="B5" s="2" t="s">
        <v>0</v>
      </c>
      <c r="C5" s="6"/>
      <c r="D5" s="6"/>
      <c r="E5" s="2">
        <f>(D5+C5)*(100*((100+'General information'!$O$20+'General information'!$O$21+'General information'!O22)-'General information'!K21)/100)</f>
        <v>0</v>
      </c>
      <c r="F5" s="2">
        <f>(E5*1)/100</f>
        <v>0</v>
      </c>
      <c r="G5" s="2">
        <f>D5*'General information'!$C$2</f>
        <v>0</v>
      </c>
      <c r="H5" s="106">
        <f>(('General information'!$M$30*C5)*0.8+('General information'!$M$32*C5)*0.2)</f>
        <v>0</v>
      </c>
      <c r="I5" s="2">
        <f t="shared" ref="I5:I11" si="0">F5*$P$28</f>
        <v>0</v>
      </c>
      <c r="J5" s="2">
        <f t="shared" ref="J5:J11" si="1">G5+I5+H5</f>
        <v>0</v>
      </c>
      <c r="K5" s="2">
        <f t="shared" ref="K5:K11" si="2">IF(ISERROR((J5/E5)),0,((J5/E5)))</f>
        <v>0</v>
      </c>
      <c r="L5" s="2">
        <f>IF(E5=0,0,K5+$Q$29)</f>
        <v>0</v>
      </c>
      <c r="M5" s="2">
        <f>(E5*($P$29-$Q$29))</f>
        <v>0</v>
      </c>
      <c r="N5" s="2">
        <f t="shared" ref="N5:N11" si="3">M5-J5</f>
        <v>0</v>
      </c>
      <c r="O5" s="108">
        <f>IF(E5=0,0,(IF((ISERROR((($P$29-$Q$29)/K5))),0,(($P$29-$Q$29))/K5)-1))</f>
        <v>0</v>
      </c>
    </row>
    <row r="6" spans="2:15" x14ac:dyDescent="0.25">
      <c r="B6" s="2" t="s">
        <v>1</v>
      </c>
      <c r="C6" s="6"/>
      <c r="D6" s="6"/>
      <c r="E6" s="2">
        <f>(D6+C6)*(100*((100+'General information'!$O$20+'General information'!$O$21+'General information'!O23)-'General information'!K22)/100)</f>
        <v>0</v>
      </c>
      <c r="F6" s="2">
        <f>(E6*2)/100</f>
        <v>0</v>
      </c>
      <c r="G6" s="2">
        <f>D6*'General information'!$C$2</f>
        <v>0</v>
      </c>
      <c r="H6" s="106">
        <f>(('General information'!$M$30*C6)*0.8+('General information'!$M$32*C6)*0.2)</f>
        <v>0</v>
      </c>
      <c r="I6" s="2">
        <f t="shared" si="0"/>
        <v>0</v>
      </c>
      <c r="J6" s="2">
        <f t="shared" si="1"/>
        <v>0</v>
      </c>
      <c r="K6" s="2">
        <f t="shared" si="2"/>
        <v>0</v>
      </c>
      <c r="L6" s="2">
        <f>IF(E6=0,0,K6+$Q$30)</f>
        <v>0</v>
      </c>
      <c r="M6" s="2">
        <f>(E6*($P$30-$Q$30))</f>
        <v>0</v>
      </c>
      <c r="N6" s="2">
        <f t="shared" si="3"/>
        <v>0</v>
      </c>
      <c r="O6" s="108">
        <f>IF(E6=0,0,(IF((ISERROR((($P$30-$Q$30)/K6))),0,(($P$30-$Q$30))/K6)-1))</f>
        <v>0</v>
      </c>
    </row>
    <row r="7" spans="2:15" x14ac:dyDescent="0.25">
      <c r="B7" s="2" t="s">
        <v>2</v>
      </c>
      <c r="C7" s="6"/>
      <c r="D7" s="6"/>
      <c r="E7" s="2">
        <f>(D7+C7)*(100*((100+'General information'!$O$20+'General information'!$O$21+'General information'!O24)-'General information'!K23)/100)</f>
        <v>0</v>
      </c>
      <c r="F7" s="2">
        <f>(E7*3)/100</f>
        <v>0</v>
      </c>
      <c r="G7" s="2">
        <f>D7*'General information'!$C$2</f>
        <v>0</v>
      </c>
      <c r="H7" s="106">
        <f>(('General information'!$M$30*C7)*0.8+('General information'!$M$32*C7)*0.2)</f>
        <v>0</v>
      </c>
      <c r="I7" s="2">
        <f t="shared" si="0"/>
        <v>0</v>
      </c>
      <c r="J7" s="2">
        <f t="shared" si="1"/>
        <v>0</v>
      </c>
      <c r="K7" s="2">
        <f t="shared" si="2"/>
        <v>0</v>
      </c>
      <c r="L7" s="2">
        <f>IF(E7=0,0,K7+$Q$31)</f>
        <v>0</v>
      </c>
      <c r="M7" s="2">
        <f>(E7*($P$31-$Q$31))</f>
        <v>0</v>
      </c>
      <c r="N7" s="2">
        <f t="shared" si="3"/>
        <v>0</v>
      </c>
      <c r="O7" s="108">
        <f>IF(E7=0,0,(IF((ISERROR((($P$31-$Q$31)/K7))),0,(($P$31-$Q$31))/K7)-1))</f>
        <v>0</v>
      </c>
    </row>
    <row r="8" spans="2:15" x14ac:dyDescent="0.25">
      <c r="B8" s="2" t="s">
        <v>3</v>
      </c>
      <c r="C8" s="6"/>
      <c r="D8" s="6"/>
      <c r="E8" s="2">
        <f>(D8+C8)*(100*((100+'General information'!$O$20+'General information'!$O$21+'General information'!O25)-'General information'!K24)/100)</f>
        <v>0</v>
      </c>
      <c r="F8" s="2">
        <f>(E8*4)/100</f>
        <v>0</v>
      </c>
      <c r="G8" s="2">
        <f>D8*'General information'!$C$2</f>
        <v>0</v>
      </c>
      <c r="H8" s="106">
        <f>(('General information'!$M$30*C8)*0.8+('General information'!$M$32*C8)*0.2)</f>
        <v>0</v>
      </c>
      <c r="I8" s="2">
        <f t="shared" si="0"/>
        <v>0</v>
      </c>
      <c r="J8" s="2">
        <f t="shared" si="1"/>
        <v>0</v>
      </c>
      <c r="K8" s="2">
        <f t="shared" si="2"/>
        <v>0</v>
      </c>
      <c r="L8" s="2">
        <f>IF(E8=0,0,K8+$Q$32)</f>
        <v>0</v>
      </c>
      <c r="M8" s="2">
        <f>(E8*($P$32-$Q$32))</f>
        <v>0</v>
      </c>
      <c r="N8" s="2">
        <f t="shared" si="3"/>
        <v>0</v>
      </c>
      <c r="O8" s="108">
        <f>IF(E8=0,0,(IF((ISERROR((($P$32-$Q$32)/K8))),0,(($P$32-$Q$32))/K8)-1))</f>
        <v>0</v>
      </c>
    </row>
    <row r="9" spans="2:15" x14ac:dyDescent="0.25">
      <c r="B9" s="2" t="s">
        <v>4</v>
      </c>
      <c r="C9" s="6"/>
      <c r="D9" s="6"/>
      <c r="E9" s="2">
        <f>(D9+C9)*(100*((100+'General information'!$O$20+'General information'!$O$21+'General information'!O26)-'General information'!K25)/100)</f>
        <v>0</v>
      </c>
      <c r="F9" s="2">
        <f>(E9*5)/100</f>
        <v>0</v>
      </c>
      <c r="G9" s="2">
        <f>D9*'General information'!$C$2</f>
        <v>0</v>
      </c>
      <c r="H9" s="106">
        <f>(('General information'!$M$30*C9)*0.8+('General information'!$M$32*C9)*0.2)</f>
        <v>0</v>
      </c>
      <c r="I9" s="2">
        <f t="shared" si="0"/>
        <v>0</v>
      </c>
      <c r="J9" s="2">
        <f t="shared" si="1"/>
        <v>0</v>
      </c>
      <c r="K9" s="2">
        <f t="shared" si="2"/>
        <v>0</v>
      </c>
      <c r="L9" s="2">
        <f>IF(E9=0,0,K9+$Q$33)</f>
        <v>0</v>
      </c>
      <c r="M9" s="2">
        <f>(E9*($P$33-$Q$33))</f>
        <v>0</v>
      </c>
      <c r="N9" s="2">
        <f t="shared" si="3"/>
        <v>0</v>
      </c>
      <c r="O9" s="108">
        <f>IF(E9=0,0,(IF((ISERROR((($P$33-$Q$33)/K9))),0,(($P$33-$Q$33))/K9)-1))</f>
        <v>0</v>
      </c>
    </row>
    <row r="10" spans="2:15" x14ac:dyDescent="0.25">
      <c r="B10" s="2" t="s">
        <v>6</v>
      </c>
      <c r="C10" s="6"/>
      <c r="D10" s="6"/>
      <c r="E10" s="2">
        <f>(D10+C10)*(100*((100+'General information'!$O$20+'General information'!$O$21+'General information'!O27)-'General information'!K26)/100)</f>
        <v>0</v>
      </c>
      <c r="F10" s="2">
        <f>(E10*6)/100</f>
        <v>0</v>
      </c>
      <c r="G10" s="2">
        <f>D10*'General information'!$C$2</f>
        <v>0</v>
      </c>
      <c r="H10" s="106">
        <f>(('General information'!$M$30*C10)*0.8+('General information'!$M$32*C10)*0.2)</f>
        <v>0</v>
      </c>
      <c r="I10" s="2">
        <f t="shared" si="0"/>
        <v>0</v>
      </c>
      <c r="J10" s="2">
        <f t="shared" si="1"/>
        <v>0</v>
      </c>
      <c r="K10" s="2">
        <f t="shared" si="2"/>
        <v>0</v>
      </c>
      <c r="L10" s="2">
        <f>IF(E10=0,0,K10+$Q$34)</f>
        <v>0</v>
      </c>
      <c r="M10" s="2">
        <f>(E10*($P$34-$Q$34))</f>
        <v>0</v>
      </c>
      <c r="N10" s="2">
        <f t="shared" si="3"/>
        <v>0</v>
      </c>
      <c r="O10" s="108">
        <f>IF(E10=0,0,(IF((ISERROR((($P$34-$Q$34)/K10))),0,(($P$34-$Q$34))/K10)-1))</f>
        <v>0</v>
      </c>
    </row>
    <row r="11" spans="2:15" x14ac:dyDescent="0.25">
      <c r="B11" s="2" t="s">
        <v>7</v>
      </c>
      <c r="C11" s="6"/>
      <c r="D11" s="6"/>
      <c r="E11" s="2">
        <f>(D11+C11)*(100*((100+'General information'!$O$20+'General information'!$O$21+'General information'!O28)-'General information'!K27)/100)</f>
        <v>0</v>
      </c>
      <c r="F11" s="2">
        <f>(E11*20)/100</f>
        <v>0</v>
      </c>
      <c r="G11" s="2">
        <f>D11*'General information'!$C$2</f>
        <v>0</v>
      </c>
      <c r="H11" s="106">
        <f>(('General information'!$M$30*C11)*0.8+('General information'!$M$32*C11)*0.2)</f>
        <v>0</v>
      </c>
      <c r="I11" s="2">
        <f t="shared" si="0"/>
        <v>0</v>
      </c>
      <c r="J11" s="2">
        <f t="shared" si="1"/>
        <v>0</v>
      </c>
      <c r="K11" s="2">
        <f t="shared" si="2"/>
        <v>0</v>
      </c>
      <c r="L11" s="2">
        <f>IF(E11=0,0,K11+$Q$35)</f>
        <v>0</v>
      </c>
      <c r="M11" s="2">
        <f>(E11*($P$35-$Q$35))</f>
        <v>0</v>
      </c>
      <c r="N11" s="2">
        <f t="shared" si="3"/>
        <v>0</v>
      </c>
      <c r="O11" s="108">
        <f>IF(E11=0,0,(IF((ISERROR((($P$35-$Q$35)/K11))),0,(($P$35-$Q$35))/K11)-1))</f>
        <v>0</v>
      </c>
    </row>
    <row r="12" spans="2:15" x14ac:dyDescent="0.25">
      <c r="B12" s="3" t="s">
        <v>10</v>
      </c>
      <c r="C12" s="3"/>
      <c r="D12" s="3"/>
      <c r="E12" s="3"/>
      <c r="F12" s="3">
        <f>SUM(F5:F11)</f>
        <v>0</v>
      </c>
      <c r="G12" s="3">
        <f>SUM(G5:G11)</f>
        <v>0</v>
      </c>
      <c r="H12" s="3">
        <f>SUM(H5:H11)</f>
        <v>0</v>
      </c>
      <c r="I12" s="3">
        <f>SUM(I5:I11)</f>
        <v>0</v>
      </c>
      <c r="J12" s="3">
        <f>SUM(J5:J11)</f>
        <v>0</v>
      </c>
      <c r="K12" s="3"/>
      <c r="L12" s="3"/>
      <c r="M12" s="3">
        <f>SUM(M5:M11)</f>
        <v>0</v>
      </c>
      <c r="N12" s="2">
        <f>SUM(N5:N11)</f>
        <v>0</v>
      </c>
    </row>
    <row r="14" spans="2:15" ht="21.75" thickBot="1" x14ac:dyDescent="0.3">
      <c r="B14" s="257" t="s">
        <v>15</v>
      </c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</row>
    <row r="15" spans="2:15" ht="15" customHeight="1" x14ac:dyDescent="0.25">
      <c r="B15" s="122" t="s">
        <v>9</v>
      </c>
      <c r="C15" s="254" t="s">
        <v>65</v>
      </c>
      <c r="D15" s="236" t="s">
        <v>37</v>
      </c>
      <c r="E15" s="236" t="s">
        <v>38</v>
      </c>
      <c r="F15" s="236" t="s">
        <v>39</v>
      </c>
      <c r="G15" s="240" t="s">
        <v>50</v>
      </c>
      <c r="H15" s="256" t="s">
        <v>35</v>
      </c>
      <c r="I15" s="236" t="s">
        <v>44</v>
      </c>
      <c r="J15" s="236" t="s">
        <v>66</v>
      </c>
      <c r="K15" s="236" t="s">
        <v>45</v>
      </c>
      <c r="L15" s="236" t="s">
        <v>46</v>
      </c>
      <c r="M15" s="236" t="s">
        <v>47</v>
      </c>
      <c r="N15" s="236" t="s">
        <v>48</v>
      </c>
      <c r="O15" s="242" t="s">
        <v>71</v>
      </c>
    </row>
    <row r="16" spans="2:15" ht="15.75" thickBot="1" x14ac:dyDescent="0.3">
      <c r="B16" s="47" t="s">
        <v>36</v>
      </c>
      <c r="C16" s="255"/>
      <c r="D16" s="237"/>
      <c r="E16" s="237"/>
      <c r="F16" s="237"/>
      <c r="G16" s="241"/>
      <c r="H16" s="243"/>
      <c r="I16" s="237"/>
      <c r="J16" s="237"/>
      <c r="K16" s="237"/>
      <c r="L16" s="237"/>
      <c r="M16" s="237"/>
      <c r="N16" s="237"/>
      <c r="O16" s="243"/>
    </row>
    <row r="17" spans="2:21" x14ac:dyDescent="0.25">
      <c r="B17" s="2" t="s">
        <v>0</v>
      </c>
      <c r="C17" s="6"/>
      <c r="D17" s="6"/>
      <c r="E17" s="2">
        <f>(D17+C17)*(100*((100+'General information'!$P$20+'General information'!$P$21+'General information'!$P$22)-'General information'!L21)/100)</f>
        <v>0</v>
      </c>
      <c r="F17" s="2">
        <f>(E17*1)/100</f>
        <v>0</v>
      </c>
      <c r="G17" s="2">
        <f>D17*'General information'!$C$2</f>
        <v>0</v>
      </c>
      <c r="H17" s="106">
        <f>(('General information'!$M$31*C17)*0.8+('General information'!$M$32*C17)*0.2)</f>
        <v>0</v>
      </c>
      <c r="I17" s="2">
        <f t="shared" ref="I17:I23" si="4">F17*$P$28</f>
        <v>0</v>
      </c>
      <c r="J17" s="2">
        <f>G17+I17+H17</f>
        <v>0</v>
      </c>
      <c r="K17" s="2">
        <f>IF(ISERROR((J17/E17)),0,((J17/E17)))</f>
        <v>0</v>
      </c>
      <c r="L17" s="2">
        <f>IF(E17=0,0,K17+$Q$29)</f>
        <v>0</v>
      </c>
      <c r="M17" s="2">
        <f>(E17*($P$29-$Q$29))</f>
        <v>0</v>
      </c>
      <c r="N17" s="2">
        <f t="shared" ref="N17:N23" si="5">M17-J17</f>
        <v>0</v>
      </c>
      <c r="O17" s="108">
        <f>IF(E17=0,0,(IF((ISERROR((($P$29-$Q$29)/K17))),0,(($P$29-$Q$29))/K17)-1))</f>
        <v>0</v>
      </c>
    </row>
    <row r="18" spans="2:21" x14ac:dyDescent="0.25">
      <c r="B18" s="2" t="s">
        <v>1</v>
      </c>
      <c r="C18" s="6"/>
      <c r="D18" s="6"/>
      <c r="E18" s="2">
        <f>(D18+C18)*(100*((100+'General information'!$P$20+'General information'!$P$21+'General information'!$P$22)-'General information'!L22)/100)</f>
        <v>0</v>
      </c>
      <c r="F18" s="2">
        <f>(E18*2)/100</f>
        <v>0</v>
      </c>
      <c r="G18" s="2">
        <f>D18*'General information'!$C$2</f>
        <v>0</v>
      </c>
      <c r="H18" s="106">
        <f>(('General information'!$M$31*C18)*0.8+('General information'!$M$32*C18)*0.2)</f>
        <v>0</v>
      </c>
      <c r="I18" s="2">
        <f t="shared" si="4"/>
        <v>0</v>
      </c>
      <c r="J18" s="2">
        <f t="shared" ref="J18:J23" si="6">G18+I18+H18</f>
        <v>0</v>
      </c>
      <c r="K18" s="2">
        <f t="shared" ref="K18:K23" si="7">IF(ISERROR((J18/E18)),0,((J18/E18)))</f>
        <v>0</v>
      </c>
      <c r="L18" s="2">
        <f>IF(E18=0,0,K18+$Q$30)</f>
        <v>0</v>
      </c>
      <c r="M18" s="2">
        <f>(E18*($P$30-$Q$30))</f>
        <v>0</v>
      </c>
      <c r="N18" s="2">
        <f t="shared" si="5"/>
        <v>0</v>
      </c>
      <c r="O18" s="108">
        <f>IF(E18=0,0,(IF((ISERROR((($P$30-$Q$30)/K18))),0,(($P$30-$Q$30))/K18)-1))</f>
        <v>0</v>
      </c>
    </row>
    <row r="19" spans="2:21" x14ac:dyDescent="0.25">
      <c r="B19" s="2" t="s">
        <v>2</v>
      </c>
      <c r="C19" s="6"/>
      <c r="D19" s="6"/>
      <c r="E19" s="2">
        <f>(D19+C19)*(100*((100+'General information'!$P$20+'General information'!$P$21+'General information'!$P$22)-'General information'!L23)/100)</f>
        <v>0</v>
      </c>
      <c r="F19" s="2">
        <f>(E19*3)/100</f>
        <v>0</v>
      </c>
      <c r="G19" s="2">
        <f>D19*'General information'!$C$2</f>
        <v>0</v>
      </c>
      <c r="H19" s="106">
        <f>(('General information'!$M$31*C19)*0.8+('General information'!$M$32*C19)*0.2)</f>
        <v>0</v>
      </c>
      <c r="I19" s="2">
        <f t="shared" si="4"/>
        <v>0</v>
      </c>
      <c r="J19" s="2">
        <f t="shared" si="6"/>
        <v>0</v>
      </c>
      <c r="K19" s="2">
        <f t="shared" si="7"/>
        <v>0</v>
      </c>
      <c r="L19" s="2">
        <f>IF(E19=0,0,K19+$Q$31)</f>
        <v>0</v>
      </c>
      <c r="M19" s="2">
        <f>(E19*($P$31-$Q$31))</f>
        <v>0</v>
      </c>
      <c r="N19" s="2">
        <f t="shared" si="5"/>
        <v>0</v>
      </c>
      <c r="O19" s="108">
        <f>IF(E19=0,0,(IF((ISERROR((($P$31-$Q$31)/K19))),0,(($P$31-$Q$31))/K19)-1))</f>
        <v>0</v>
      </c>
    </row>
    <row r="20" spans="2:21" x14ac:dyDescent="0.25">
      <c r="B20" s="2" t="s">
        <v>3</v>
      </c>
      <c r="C20" s="6"/>
      <c r="D20" s="6"/>
      <c r="E20" s="2">
        <f>(D20+C20)*(100*((100+'General information'!$P$20+'General information'!$P$21+'General information'!$P$22)-'General information'!L24)/100)</f>
        <v>0</v>
      </c>
      <c r="F20" s="2">
        <f>(E20*4)/100</f>
        <v>0</v>
      </c>
      <c r="G20" s="2">
        <f>D20*'General information'!$C$2</f>
        <v>0</v>
      </c>
      <c r="H20" s="106">
        <f>(('General information'!$M$31*C20)*0.8+('General information'!$M$32*C20)*0.2)</f>
        <v>0</v>
      </c>
      <c r="I20" s="2">
        <f t="shared" si="4"/>
        <v>0</v>
      </c>
      <c r="J20" s="2">
        <f t="shared" si="6"/>
        <v>0</v>
      </c>
      <c r="K20" s="2">
        <f t="shared" si="7"/>
        <v>0</v>
      </c>
      <c r="L20" s="2">
        <f>IF(E20=0,0,K20+$Q$32)</f>
        <v>0</v>
      </c>
      <c r="M20" s="2">
        <f>(E20*($P$32-$Q$32))</f>
        <v>0</v>
      </c>
      <c r="N20" s="2">
        <f t="shared" si="5"/>
        <v>0</v>
      </c>
      <c r="O20" s="108">
        <f>IF(E20=0,0,(IF((ISERROR((($P$32-$Q$32)/K20))),0,(($P$32-$Q$32))/K20)-1))</f>
        <v>0</v>
      </c>
    </row>
    <row r="21" spans="2:21" x14ac:dyDescent="0.25">
      <c r="B21" s="2" t="s">
        <v>4</v>
      </c>
      <c r="C21" s="6"/>
      <c r="D21" s="6"/>
      <c r="E21" s="2">
        <f>(D21+C21)*(100*((100+'General information'!$P$20+'General information'!$P$21+'General information'!$P$22)-'General information'!L25)/100)</f>
        <v>0</v>
      </c>
      <c r="F21" s="2">
        <f>(E21*5)/100</f>
        <v>0</v>
      </c>
      <c r="G21" s="2">
        <f>D21*'General information'!$C$2</f>
        <v>0</v>
      </c>
      <c r="H21" s="106">
        <f>(('General information'!$M$31*C21)*0.8+('General information'!$M$32*C21)*0.2)</f>
        <v>0</v>
      </c>
      <c r="I21" s="2">
        <f t="shared" si="4"/>
        <v>0</v>
      </c>
      <c r="J21" s="2">
        <f t="shared" si="6"/>
        <v>0</v>
      </c>
      <c r="K21" s="2">
        <f t="shared" si="7"/>
        <v>0</v>
      </c>
      <c r="L21" s="2">
        <f>IF(E21=0,0,K21+$Q$33)</f>
        <v>0</v>
      </c>
      <c r="M21" s="2">
        <f>(E21*($P$33-$Q$33))</f>
        <v>0</v>
      </c>
      <c r="N21" s="2">
        <f t="shared" si="5"/>
        <v>0</v>
      </c>
      <c r="O21" s="108">
        <f>IF(E21=0,0,(IF((ISERROR((($P$33-$Q$33)/K21))),0,(($P$33-$Q$33))/K21)-1))</f>
        <v>0</v>
      </c>
    </row>
    <row r="22" spans="2:21" x14ac:dyDescent="0.25">
      <c r="B22" s="2" t="s">
        <v>6</v>
      </c>
      <c r="C22" s="6"/>
      <c r="D22" s="6"/>
      <c r="E22" s="2">
        <f>(D22+C22)*(100*((100+'General information'!$P$20+'General information'!$P$21+'General information'!$P$22)-'General information'!L26)/100)</f>
        <v>0</v>
      </c>
      <c r="F22" s="2">
        <f>(E22*6)/100</f>
        <v>0</v>
      </c>
      <c r="G22" s="2">
        <f>D22*'General information'!$C$2</f>
        <v>0</v>
      </c>
      <c r="H22" s="106">
        <f>(('General information'!$M$31*C22)*0.8+('General information'!$M$32*C22)*0.2)</f>
        <v>0</v>
      </c>
      <c r="I22" s="2">
        <f t="shared" si="4"/>
        <v>0</v>
      </c>
      <c r="J22" s="2">
        <f t="shared" si="6"/>
        <v>0</v>
      </c>
      <c r="K22" s="2">
        <f t="shared" si="7"/>
        <v>0</v>
      </c>
      <c r="L22" s="2">
        <f>IF(E22=0,0,K22+$Q$34)</f>
        <v>0</v>
      </c>
      <c r="M22" s="2">
        <f>(E22*($P$34-$Q$34))</f>
        <v>0</v>
      </c>
      <c r="N22" s="2">
        <f t="shared" si="5"/>
        <v>0</v>
      </c>
      <c r="O22" s="108">
        <f>IF(E22=0,0,(IF((ISERROR((($P$34-$Q$34)/K22))),0,(($P$34-$Q$34))/K22)-1))</f>
        <v>0</v>
      </c>
    </row>
    <row r="23" spans="2:21" x14ac:dyDescent="0.25">
      <c r="B23" s="2" t="s">
        <v>7</v>
      </c>
      <c r="C23" s="6"/>
      <c r="D23" s="6"/>
      <c r="E23" s="2">
        <f>(D23+C23)*(100*((100+'General information'!$P$20+'General information'!$P$21+'General information'!$P$22)-'General information'!L27)/100)</f>
        <v>0</v>
      </c>
      <c r="F23" s="2">
        <f>(E23*20)/100</f>
        <v>0</v>
      </c>
      <c r="G23" s="2">
        <f>D23*'General information'!$C$2</f>
        <v>0</v>
      </c>
      <c r="H23" s="106">
        <f>(('General information'!$M$31*C23)*0.8+('General information'!$M$32*C23)*0.2)</f>
        <v>0</v>
      </c>
      <c r="I23" s="2">
        <f t="shared" si="4"/>
        <v>0</v>
      </c>
      <c r="J23" s="2">
        <f t="shared" si="6"/>
        <v>0</v>
      </c>
      <c r="K23" s="2">
        <f t="shared" si="7"/>
        <v>0</v>
      </c>
      <c r="L23" s="2">
        <f>IF(E23=0,0,K23+$Q$35)</f>
        <v>0</v>
      </c>
      <c r="M23" s="2">
        <f>(E23*($P$35-$Q$35))</f>
        <v>0</v>
      </c>
      <c r="N23" s="2">
        <f t="shared" si="5"/>
        <v>0</v>
      </c>
      <c r="O23" s="108">
        <f>IF(E23=0,0,(IF((ISERROR((($P$35-$Q$35)/K23))),0,(($P$35-$Q$35))/K23)-1))</f>
        <v>0</v>
      </c>
    </row>
    <row r="24" spans="2:21" x14ac:dyDescent="0.25">
      <c r="B24" s="3" t="s">
        <v>10</v>
      </c>
      <c r="C24" s="3"/>
      <c r="D24" s="3"/>
      <c r="E24" s="3"/>
      <c r="F24" s="3">
        <f>SUM(F17:F23)</f>
        <v>0</v>
      </c>
      <c r="G24" s="3">
        <f>SUM(G17:G23)</f>
        <v>0</v>
      </c>
      <c r="H24" s="3">
        <f>SUM(H17:H23)</f>
        <v>0</v>
      </c>
      <c r="I24" s="3">
        <f>SUM(I17:I23)</f>
        <v>0</v>
      </c>
      <c r="J24" s="3">
        <f>SUM(J17:J23)</f>
        <v>0</v>
      </c>
      <c r="K24" s="3"/>
      <c r="L24" s="3"/>
      <c r="M24" s="3">
        <f>SUM(M17:M23)</f>
        <v>0</v>
      </c>
      <c r="N24" s="2">
        <f>SUM(N17:N23)</f>
        <v>0</v>
      </c>
    </row>
    <row r="25" spans="2:21" ht="15.75" thickBot="1" x14ac:dyDescent="0.3"/>
    <row r="26" spans="2:21" ht="21.75" thickBot="1" x14ac:dyDescent="0.3">
      <c r="B26" s="257" t="s">
        <v>14</v>
      </c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O26" s="259" t="s">
        <v>72</v>
      </c>
      <c r="P26" s="260"/>
      <c r="Q26" s="260"/>
      <c r="R26" s="260"/>
      <c r="S26" s="260"/>
      <c r="T26" s="260"/>
      <c r="U26" s="261"/>
    </row>
    <row r="27" spans="2:21" ht="15" customHeight="1" thickBot="1" x14ac:dyDescent="0.3">
      <c r="B27" s="46" t="s">
        <v>25</v>
      </c>
      <c r="C27" s="254" t="s">
        <v>65</v>
      </c>
      <c r="D27" s="236" t="s">
        <v>37</v>
      </c>
      <c r="E27" s="236" t="s">
        <v>38</v>
      </c>
      <c r="F27" s="256" t="s">
        <v>35</v>
      </c>
      <c r="G27" s="240" t="s">
        <v>50</v>
      </c>
      <c r="H27" s="236" t="s">
        <v>66</v>
      </c>
      <c r="I27" s="236" t="s">
        <v>45</v>
      </c>
      <c r="J27" s="236" t="s">
        <v>46</v>
      </c>
      <c r="K27" s="236" t="s">
        <v>47</v>
      </c>
      <c r="L27" s="236" t="s">
        <v>48</v>
      </c>
      <c r="M27" s="242" t="s">
        <v>53</v>
      </c>
      <c r="O27" s="47" t="s">
        <v>36</v>
      </c>
      <c r="P27" s="153" t="s">
        <v>55</v>
      </c>
      <c r="Q27" s="187" t="s">
        <v>34</v>
      </c>
      <c r="R27" s="153" t="s">
        <v>56</v>
      </c>
      <c r="S27" s="153" t="s">
        <v>57</v>
      </c>
      <c r="T27" s="153" t="s">
        <v>58</v>
      </c>
      <c r="U27" s="89" t="s">
        <v>59</v>
      </c>
    </row>
    <row r="28" spans="2:21" ht="15.75" thickBot="1" x14ac:dyDescent="0.3">
      <c r="B28" s="47" t="s">
        <v>36</v>
      </c>
      <c r="C28" s="255"/>
      <c r="D28" s="237"/>
      <c r="E28" s="237"/>
      <c r="F28" s="243"/>
      <c r="G28" s="241"/>
      <c r="H28" s="237"/>
      <c r="I28" s="237"/>
      <c r="J28" s="237"/>
      <c r="K28" s="237"/>
      <c r="L28" s="237"/>
      <c r="M28" s="243"/>
      <c r="O28" s="42" t="s">
        <v>8</v>
      </c>
      <c r="P28" s="45"/>
      <c r="Q28" s="66">
        <f>IF(P28=0,0,(Food!$P$28*'General information'!$P$32%))</f>
        <v>0</v>
      </c>
      <c r="R28" s="45"/>
      <c r="S28" s="66">
        <f t="shared" ref="S28:S35" si="8">P28*R28</f>
        <v>0</v>
      </c>
      <c r="T28" s="66">
        <f t="shared" ref="T28:T35" si="9">Q28*R28</f>
        <v>0</v>
      </c>
      <c r="U28" s="66">
        <f t="shared" ref="U28:U35" si="10">S28-T28</f>
        <v>0</v>
      </c>
    </row>
    <row r="29" spans="2:21" x14ac:dyDescent="0.25">
      <c r="B29" s="2" t="s">
        <v>0</v>
      </c>
      <c r="C29" s="6"/>
      <c r="D29" s="6"/>
      <c r="E29" s="2">
        <f>((35*((100+'General information'!$O$20+'General information'!$O$21+'General information'!$O$22)-'General information'!$K$20)/100)*(D29+C29))/100</f>
        <v>0</v>
      </c>
      <c r="F29" s="106">
        <f>(('General information'!$M$30*C29)*0.8+('General information'!$M$32*C29)*0.2)</f>
        <v>0</v>
      </c>
      <c r="G29" s="2">
        <f>D29*'General information'!$C$2</f>
        <v>0</v>
      </c>
      <c r="H29" s="2">
        <f>F29+G29</f>
        <v>0</v>
      </c>
      <c r="I29" s="12">
        <f>IF(ISERROR(H29/E29),0,H29/E29)</f>
        <v>0</v>
      </c>
      <c r="J29" s="4">
        <f>IF(E29=0,0,I29+$Q$28)</f>
        <v>0</v>
      </c>
      <c r="K29" s="2">
        <f>E29*(Food!$P$28-$Q$28)</f>
        <v>0</v>
      </c>
      <c r="L29" s="2">
        <f>K29-H29</f>
        <v>0</v>
      </c>
      <c r="M29" s="108">
        <f>IF(E29=0,0,(IF((ISERROR((($P$28-$Q$28)/I29))),0,(($P$28-$Q$28))/I29)-1))</f>
        <v>0</v>
      </c>
      <c r="O29" s="42" t="s">
        <v>0</v>
      </c>
      <c r="P29" s="45"/>
      <c r="Q29" s="66">
        <f>($P$29*'General information'!$P$31%)+($P$29*'General information'!$P$32%)</f>
        <v>0</v>
      </c>
      <c r="R29" s="45"/>
      <c r="S29" s="66">
        <f t="shared" si="8"/>
        <v>0</v>
      </c>
      <c r="T29" s="66">
        <f t="shared" si="9"/>
        <v>0</v>
      </c>
      <c r="U29" s="66">
        <f t="shared" si="10"/>
        <v>0</v>
      </c>
    </row>
    <row r="30" spans="2:21" x14ac:dyDescent="0.25">
      <c r="B30" s="2" t="s">
        <v>1</v>
      </c>
      <c r="C30" s="6"/>
      <c r="D30" s="6"/>
      <c r="E30" s="2">
        <f>((70*((100+'General information'!$O$20+'General information'!$O$21+'General information'!$O$22)-'General information'!$K$20)/100)*(D30+C30))/100</f>
        <v>0</v>
      </c>
      <c r="F30" s="106">
        <f>(('General information'!$M$30*C30)*0.8+('General information'!$M$32*C30)*0.2)</f>
        <v>0</v>
      </c>
      <c r="G30" s="2">
        <f>D30*'General information'!$C$2</f>
        <v>0</v>
      </c>
      <c r="H30" s="2">
        <f>F30+G30</f>
        <v>0</v>
      </c>
      <c r="I30" s="12">
        <f>IF(ISERROR(H30/E30),0,H30/E30)</f>
        <v>0</v>
      </c>
      <c r="J30" s="4">
        <f>IF(E30=0,0,I30+$Q$28)</f>
        <v>0</v>
      </c>
      <c r="K30" s="2">
        <f>E30*(Food!$P$28-$Q$28)</f>
        <v>0</v>
      </c>
      <c r="L30" s="2">
        <f>K30-H30</f>
        <v>0</v>
      </c>
      <c r="M30" s="108">
        <f>IF(E30=0,0,(IF((ISERROR((($P$28-$Q$28)/I30))),0,(($P$28-$Q$28))/I30)-1))</f>
        <v>0</v>
      </c>
      <c r="O30" s="42" t="s">
        <v>1</v>
      </c>
      <c r="P30" s="45"/>
      <c r="Q30" s="66">
        <f>($P$30*'General information'!$P$31%)+($P$30*'General information'!$P$32%)</f>
        <v>0</v>
      </c>
      <c r="R30" s="45"/>
      <c r="S30" s="66">
        <f t="shared" si="8"/>
        <v>0</v>
      </c>
      <c r="T30" s="66">
        <f t="shared" si="9"/>
        <v>0</v>
      </c>
      <c r="U30" s="66">
        <f t="shared" si="10"/>
        <v>0</v>
      </c>
    </row>
    <row r="31" spans="2:21" x14ac:dyDescent="0.25">
      <c r="B31" s="2" t="s">
        <v>2</v>
      </c>
      <c r="C31" s="6"/>
      <c r="D31" s="6"/>
      <c r="E31" s="2">
        <f>((125*((100+'General information'!$O$20+'General information'!$O$21+'General information'!$O$22)-'General information'!$K$20)/100)*(D31+C31))/100</f>
        <v>0</v>
      </c>
      <c r="F31" s="106">
        <f>(('General information'!$M$30*C31)*0.8+('General information'!$M$32*C31)*0.2)</f>
        <v>0</v>
      </c>
      <c r="G31" s="2">
        <f>D31*'General information'!$C$2</f>
        <v>0</v>
      </c>
      <c r="H31" s="2">
        <f>F31+G31</f>
        <v>0</v>
      </c>
      <c r="I31" s="12">
        <f>IF(ISERROR(H31/E31),0,H31/E31)</f>
        <v>0</v>
      </c>
      <c r="J31" s="4">
        <f>IF(E31=0,0,I31+$Q$28)</f>
        <v>0</v>
      </c>
      <c r="K31" s="2">
        <f>E31*(Food!$P$28-$Q$28)</f>
        <v>0</v>
      </c>
      <c r="L31" s="2">
        <f>K31-H31</f>
        <v>0</v>
      </c>
      <c r="M31" s="108">
        <f>IF(E31=0,0,(IF((ISERROR((($P$28-$Q$28)/I31))),0,(($P$28-$Q$28))/I31)-1))</f>
        <v>0</v>
      </c>
      <c r="O31" s="42" t="s">
        <v>2</v>
      </c>
      <c r="P31" s="45"/>
      <c r="Q31" s="66">
        <f>($P$31*'General information'!$P$31%)+($P$31*'General information'!$P$32%)</f>
        <v>0</v>
      </c>
      <c r="R31" s="45"/>
      <c r="S31" s="66">
        <f t="shared" si="8"/>
        <v>0</v>
      </c>
      <c r="T31" s="66">
        <f t="shared" si="9"/>
        <v>0</v>
      </c>
      <c r="U31" s="66">
        <f t="shared" si="10"/>
        <v>0</v>
      </c>
    </row>
    <row r="32" spans="2:21" x14ac:dyDescent="0.25">
      <c r="B32" s="2" t="s">
        <v>3</v>
      </c>
      <c r="C32" s="6"/>
      <c r="D32" s="6"/>
      <c r="E32" s="2">
        <f>((175*((100+'General information'!$O$20+'General information'!$O$21+'General information'!$O$22)-'General information'!$K$20)/100)*(D32+C32))/100</f>
        <v>0</v>
      </c>
      <c r="F32" s="106">
        <f>(('General information'!$M$30*C32)*0.8+('General information'!$M$32*C32)*0.2)</f>
        <v>0</v>
      </c>
      <c r="G32" s="2">
        <f>D32*'General information'!$C$2</f>
        <v>0</v>
      </c>
      <c r="H32" s="2">
        <f>F32+G32</f>
        <v>0</v>
      </c>
      <c r="I32" s="12">
        <f>IF(ISERROR(H32/E32),0,H32/E32)</f>
        <v>0</v>
      </c>
      <c r="J32" s="4">
        <f>IF(E32=0,0,I32+$Q$28)</f>
        <v>0</v>
      </c>
      <c r="K32" s="2">
        <f>E32*(Food!$P$28-$Q$28)</f>
        <v>0</v>
      </c>
      <c r="L32" s="2">
        <f>K32-H32</f>
        <v>0</v>
      </c>
      <c r="M32" s="108">
        <f>IF(E32=0,0,(IF((ISERROR((($P$28-$Q$28)/I32))),0,(($P$28-$Q$28))/I32)-1))</f>
        <v>0</v>
      </c>
      <c r="O32" s="42" t="s">
        <v>3</v>
      </c>
      <c r="P32" s="45"/>
      <c r="Q32" s="66">
        <f>($P$32*'General information'!$P$31%)+($P$32*'General information'!$P$32%)</f>
        <v>0</v>
      </c>
      <c r="R32" s="45"/>
      <c r="S32" s="66">
        <f t="shared" si="8"/>
        <v>0</v>
      </c>
      <c r="T32" s="66">
        <f t="shared" si="9"/>
        <v>0</v>
      </c>
      <c r="U32" s="66">
        <f t="shared" si="10"/>
        <v>0</v>
      </c>
    </row>
    <row r="33" spans="2:26" x14ac:dyDescent="0.25">
      <c r="B33" s="2" t="s">
        <v>4</v>
      </c>
      <c r="C33" s="6"/>
      <c r="D33" s="6"/>
      <c r="E33" s="2">
        <f>((250*((100+'General information'!$O$20+'General information'!$O$21+'General information'!$O$22)-'General information'!$K$20)/100)*(D33+C33))/100</f>
        <v>0</v>
      </c>
      <c r="F33" s="106">
        <f>(('General information'!$M$30*C33)*0.8+('General information'!$M$32*C33)*0.2)</f>
        <v>0</v>
      </c>
      <c r="G33" s="2">
        <f>D33*'General information'!$C$2</f>
        <v>0</v>
      </c>
      <c r="H33" s="2">
        <f>F33+G33</f>
        <v>0</v>
      </c>
      <c r="I33" s="12">
        <f>IF(ISERROR(H33/E33),0,H33/E33)</f>
        <v>0</v>
      </c>
      <c r="J33" s="4">
        <f>IF(E33=0,0,I33+$Q$28)</f>
        <v>0</v>
      </c>
      <c r="K33" s="2">
        <f>E33*(Food!$P$28-$Q$28)</f>
        <v>0</v>
      </c>
      <c r="L33" s="2">
        <f>K33-H33</f>
        <v>0</v>
      </c>
      <c r="M33" s="108">
        <f>IF(E33=0,0,(IF((ISERROR((($P$28-$Q$28)/I33))),0,(($P$28-$Q$28))/I33)-1))</f>
        <v>0</v>
      </c>
      <c r="O33" s="42" t="s">
        <v>4</v>
      </c>
      <c r="P33" s="45"/>
      <c r="Q33" s="66">
        <f>($P$33*'General information'!$P$31%)+($P$33*'General information'!$P$32%)</f>
        <v>0</v>
      </c>
      <c r="R33" s="45"/>
      <c r="S33" s="66">
        <f t="shared" si="8"/>
        <v>0</v>
      </c>
      <c r="T33" s="66">
        <f t="shared" si="9"/>
        <v>0</v>
      </c>
      <c r="U33" s="66">
        <f t="shared" si="10"/>
        <v>0</v>
      </c>
    </row>
    <row r="34" spans="2:26" x14ac:dyDescent="0.25">
      <c r="B34" s="3" t="s">
        <v>10</v>
      </c>
      <c r="C34" s="124"/>
      <c r="D34" s="124"/>
      <c r="E34" s="3">
        <f>SUM(E29:E33)</f>
        <v>0</v>
      </c>
      <c r="F34" s="3">
        <f>SUM(F29:F33)</f>
        <v>0</v>
      </c>
      <c r="G34" s="3">
        <f>SUM(G29:G33)</f>
        <v>0</v>
      </c>
      <c r="H34" s="3">
        <f>SUM(H29:H33)</f>
        <v>0</v>
      </c>
      <c r="I34" s="123">
        <f>AVERAGE(I29:I33)</f>
        <v>0</v>
      </c>
      <c r="J34" s="123">
        <f>AVERAGE(J29:J33)</f>
        <v>0</v>
      </c>
      <c r="K34" s="3">
        <f>SUM(K29:K33)</f>
        <v>0</v>
      </c>
      <c r="L34" s="2">
        <f>SUM(L29:L33)</f>
        <v>0</v>
      </c>
      <c r="O34" s="42" t="s">
        <v>6</v>
      </c>
      <c r="P34" s="45"/>
      <c r="Q34" s="66">
        <f>($P$34*'General information'!$P$31%)+($P$34*'General information'!$P$32%)</f>
        <v>0</v>
      </c>
      <c r="R34" s="45"/>
      <c r="S34" s="66">
        <f t="shared" si="8"/>
        <v>0</v>
      </c>
      <c r="T34" s="66">
        <f t="shared" si="9"/>
        <v>0</v>
      </c>
      <c r="U34" s="66">
        <f t="shared" si="10"/>
        <v>0</v>
      </c>
    </row>
    <row r="35" spans="2:26" x14ac:dyDescent="0.25">
      <c r="O35" s="42" t="s">
        <v>7</v>
      </c>
      <c r="P35" s="45"/>
      <c r="Q35" s="66">
        <f>($P$35*'General information'!$P$31%)+($P$35*'General information'!$P$32%)</f>
        <v>0</v>
      </c>
      <c r="R35" s="45"/>
      <c r="S35" s="66">
        <f t="shared" si="8"/>
        <v>0</v>
      </c>
      <c r="T35" s="66">
        <f t="shared" si="9"/>
        <v>0</v>
      </c>
      <c r="U35" s="66">
        <f t="shared" si="10"/>
        <v>0</v>
      </c>
    </row>
    <row r="36" spans="2:26" ht="21.75" thickBot="1" x14ac:dyDescent="0.3">
      <c r="B36" s="257" t="s">
        <v>15</v>
      </c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O36" s="116"/>
      <c r="P36" s="116"/>
      <c r="Q36" s="7">
        <f>SUM(Q29:Q35)</f>
        <v>0</v>
      </c>
      <c r="R36" s="116"/>
      <c r="S36" s="118">
        <f>SUM(S28:S35)</f>
        <v>0</v>
      </c>
      <c r="T36" s="118">
        <f>SUM(T28:T35)</f>
        <v>0</v>
      </c>
      <c r="U36" s="99">
        <f>SUM(U28:U35)</f>
        <v>0</v>
      </c>
    </row>
    <row r="37" spans="2:26" ht="15" customHeight="1" x14ac:dyDescent="0.25">
      <c r="B37" s="46" t="s">
        <v>25</v>
      </c>
      <c r="C37" s="254" t="s">
        <v>65</v>
      </c>
      <c r="D37" s="236" t="s">
        <v>37</v>
      </c>
      <c r="E37" s="236" t="s">
        <v>38</v>
      </c>
      <c r="F37" s="256" t="s">
        <v>35</v>
      </c>
      <c r="G37" s="240" t="s">
        <v>50</v>
      </c>
      <c r="H37" s="236" t="s">
        <v>66</v>
      </c>
      <c r="I37" s="236" t="s">
        <v>45</v>
      </c>
      <c r="J37" s="236" t="s">
        <v>46</v>
      </c>
      <c r="K37" s="236" t="s">
        <v>47</v>
      </c>
      <c r="L37" s="236" t="s">
        <v>48</v>
      </c>
      <c r="M37" s="242" t="s">
        <v>53</v>
      </c>
      <c r="Z37" s="1"/>
    </row>
    <row r="38" spans="2:26" ht="15.75" thickBot="1" x14ac:dyDescent="0.3">
      <c r="B38" s="47" t="s">
        <v>36</v>
      </c>
      <c r="C38" s="255"/>
      <c r="D38" s="237"/>
      <c r="E38" s="237"/>
      <c r="F38" s="243"/>
      <c r="G38" s="241"/>
      <c r="H38" s="237"/>
      <c r="I38" s="237"/>
      <c r="J38" s="237"/>
      <c r="K38" s="237"/>
      <c r="L38" s="237"/>
      <c r="M38" s="243"/>
    </row>
    <row r="39" spans="2:26" ht="15.75" thickBot="1" x14ac:dyDescent="0.3">
      <c r="B39" s="2" t="s">
        <v>0</v>
      </c>
      <c r="C39" s="6"/>
      <c r="D39" s="6"/>
      <c r="E39" s="2">
        <f>((35*((100+'General information'!$P$20+'General information'!$P$21+'General information'!$P$22)-'General information'!$L$20)/100)*(D39+C39))/100</f>
        <v>0</v>
      </c>
      <c r="F39" s="106">
        <f>(('General information'!$M$31*C39)*0.8+('General information'!$M$32*C39)*0.2)</f>
        <v>0</v>
      </c>
      <c r="G39" s="2">
        <f>D39*'General information'!$C$2</f>
        <v>0</v>
      </c>
      <c r="H39" s="2">
        <f>F39+G39</f>
        <v>0</v>
      </c>
      <c r="I39" s="12">
        <f>IF(ISERROR(H39/E39),0,H39/E39)</f>
        <v>0</v>
      </c>
      <c r="J39" s="4">
        <f>IF(E39=0,0,I39+$Q$28)</f>
        <v>0</v>
      </c>
      <c r="K39" s="2">
        <f>E39*(Food!$P$28-$Q$28)</f>
        <v>0</v>
      </c>
      <c r="L39" s="2">
        <f>K39-H39</f>
        <v>0</v>
      </c>
      <c r="M39" s="108">
        <f>IF(E39=0,0,(IF((ISERROR((($P$28-$Q$28)/I39))),0,(($P$28-$Q$28))/I39)-1))</f>
        <v>0</v>
      </c>
    </row>
    <row r="40" spans="2:26" ht="15.75" thickBot="1" x14ac:dyDescent="0.3">
      <c r="B40" s="2" t="s">
        <v>1</v>
      </c>
      <c r="C40" s="6"/>
      <c r="D40" s="6"/>
      <c r="E40" s="2">
        <f>((70*((100+'General information'!$P$20+'General information'!$P$21+'General information'!$P$22)-'General information'!$L$20)/100)*(D40+C40))/100</f>
        <v>0</v>
      </c>
      <c r="F40" s="106">
        <f>(('General information'!$M$31*C40)*0.8+('General information'!$M$32*C40)*0.2)</f>
        <v>0</v>
      </c>
      <c r="G40" s="2">
        <f>D40*'General information'!$C$2</f>
        <v>0</v>
      </c>
      <c r="H40" s="2">
        <f>F40+G40</f>
        <v>0</v>
      </c>
      <c r="I40" s="12">
        <f>IF(ISERROR(H40/E40),0,H40/E40)</f>
        <v>0</v>
      </c>
      <c r="J40" s="4">
        <f>IF(E40=0,0,I40+$Q$28)</f>
        <v>0</v>
      </c>
      <c r="K40" s="2">
        <f>E40*(Food!$P$28-$Q$28)</f>
        <v>0</v>
      </c>
      <c r="L40" s="2">
        <f>K40-H40</f>
        <v>0</v>
      </c>
      <c r="M40" s="108">
        <f>IF(E40=0,0,(IF((ISERROR((($P$28-$Q$28)/I40))),0,(($P$28-$Q$28))/I40)-1))</f>
        <v>0</v>
      </c>
      <c r="P40" s="312" t="s">
        <v>8</v>
      </c>
      <c r="Q40" s="164" t="s">
        <v>60</v>
      </c>
      <c r="R40" s="90" t="s">
        <v>61</v>
      </c>
    </row>
    <row r="41" spans="2:26" x14ac:dyDescent="0.25">
      <c r="B41" s="2" t="s">
        <v>2</v>
      </c>
      <c r="C41" s="6"/>
      <c r="D41" s="6"/>
      <c r="E41" s="2">
        <f>((125*((100+'General information'!$P$20+'General information'!$P$21+'General information'!$P$22)-'General information'!$L$20)/100)*(D41+C41))/100</f>
        <v>0</v>
      </c>
      <c r="F41" s="106">
        <f>(('General information'!$M$31*C41)*0.8+('General information'!$M$32*C41)*0.2)</f>
        <v>0</v>
      </c>
      <c r="G41" s="2">
        <f>D41*'General information'!$C$2</f>
        <v>0</v>
      </c>
      <c r="H41" s="2">
        <f>F41+G41</f>
        <v>0</v>
      </c>
      <c r="I41" s="12">
        <f>IF(ISERROR(H41/E41),0,H41/E41)</f>
        <v>0</v>
      </c>
      <c r="J41" s="4">
        <f>IF(E41=0,0,I41+$Q$28)</f>
        <v>0</v>
      </c>
      <c r="K41" s="2">
        <f>E41*(Food!$P$28-$Q$28)</f>
        <v>0</v>
      </c>
      <c r="L41" s="2">
        <f>K41-H41</f>
        <v>0</v>
      </c>
      <c r="M41" s="108">
        <f>IF(E41=0,0,(IF((ISERROR((($P$28-$Q$28)/I41))),0,(($P$28-$Q$28))/I41)-1))</f>
        <v>0</v>
      </c>
      <c r="O41" s="170" t="s">
        <v>38</v>
      </c>
      <c r="P41" s="307">
        <f>E34+E44</f>
        <v>0</v>
      </c>
      <c r="Q41" s="308">
        <f>P41*((I34+I44)/2)</f>
        <v>0</v>
      </c>
      <c r="R41" s="309">
        <f>IF(ISERROR(Q41/P41),0,Q41/P41)</f>
        <v>0</v>
      </c>
    </row>
    <row r="42" spans="2:26" ht="15.75" thickBot="1" x14ac:dyDescent="0.3">
      <c r="B42" s="2" t="s">
        <v>3</v>
      </c>
      <c r="C42" s="6"/>
      <c r="D42" s="6"/>
      <c r="E42" s="2">
        <f>((175*((100+'General information'!$P$20+'General information'!$P$21+'General information'!$P$22)-'General information'!$L$20)/100)*(D42+C42))/100</f>
        <v>0</v>
      </c>
      <c r="F42" s="106">
        <f>(('General information'!$M$31*C42)*0.8+('General information'!$M$32*C42)*0.2)</f>
        <v>0</v>
      </c>
      <c r="G42" s="2">
        <f>D42*'General information'!$C$2</f>
        <v>0</v>
      </c>
      <c r="H42" s="2">
        <f>F42+G42</f>
        <v>0</v>
      </c>
      <c r="I42" s="12">
        <f>IF(ISERROR(H42/E42),0,H42/E42)</f>
        <v>0</v>
      </c>
      <c r="J42" s="4">
        <f>IF(E42=0,0,I42+$Q$28)</f>
        <v>0</v>
      </c>
      <c r="K42" s="2">
        <f>E42*(Food!$P$28-$Q$28)</f>
        <v>0</v>
      </c>
      <c r="L42" s="2">
        <f>K42-H42</f>
        <v>0</v>
      </c>
      <c r="M42" s="108">
        <f>IF(E42=0,0,(IF((ISERROR((($P$28-$Q$28)/I42))),0,(($P$28-$Q$28))/I42)-1))</f>
        <v>0</v>
      </c>
      <c r="O42" s="92" t="s">
        <v>63</v>
      </c>
      <c r="P42" s="310">
        <f>IF(P43&gt;P41,P43-P41,0)</f>
        <v>0</v>
      </c>
      <c r="Q42" s="126">
        <f>P28*P42</f>
        <v>0</v>
      </c>
      <c r="R42" s="127">
        <f>IF(ISERROR(Q42/P42),0,Q42/P42)</f>
        <v>0</v>
      </c>
    </row>
    <row r="43" spans="2:26" ht="15.75" thickBot="1" x14ac:dyDescent="0.3">
      <c r="B43" s="2" t="s">
        <v>4</v>
      </c>
      <c r="C43" s="6"/>
      <c r="D43" s="6"/>
      <c r="E43" s="2">
        <f>((250*((100+'General information'!$P$20+'General information'!$P$21+'General information'!$P$22)-'General information'!$L$20)/100)*(D43+C43))/100</f>
        <v>0</v>
      </c>
      <c r="F43" s="106">
        <f>(('General information'!$M$31*C43)*0.8+('General information'!$M$32*C43)*0.2)</f>
        <v>0</v>
      </c>
      <c r="G43" s="2">
        <f>D43*'General information'!$C$2</f>
        <v>0</v>
      </c>
      <c r="H43" s="2">
        <f>F43+G43</f>
        <v>0</v>
      </c>
      <c r="I43" s="12">
        <f>IF(ISERROR(H43/E43),0,H43/E43)</f>
        <v>0</v>
      </c>
      <c r="J43" s="4">
        <f>IF(E43=0,0,I43+$Q$28)</f>
        <v>0</v>
      </c>
      <c r="K43" s="2">
        <f>E43*(Food!$P$28-$Q$28)</f>
        <v>0</v>
      </c>
      <c r="L43" s="2">
        <f>K43-H43</f>
        <v>0</v>
      </c>
      <c r="M43" s="108">
        <f>IF(E43=0,0,(IF((ISERROR((($P$28-$Q$28)/I43))),0,(($P$28-$Q$28))/I43)-1))</f>
        <v>0</v>
      </c>
      <c r="O43" s="91" t="s">
        <v>62</v>
      </c>
      <c r="P43" s="311">
        <f>F12+F24</f>
        <v>0</v>
      </c>
      <c r="Q43" s="10">
        <f>Q41+Q42</f>
        <v>0</v>
      </c>
      <c r="R43" s="15">
        <f>IF(P43&gt;P41,((P41/P43*R41)+(P42/P43*R42)),R41)</f>
        <v>0</v>
      </c>
    </row>
    <row r="44" spans="2:26" ht="15.75" thickBot="1" x14ac:dyDescent="0.3">
      <c r="B44" s="3" t="s">
        <v>10</v>
      </c>
      <c r="C44" s="124"/>
      <c r="D44" s="124"/>
      <c r="E44" s="3">
        <f>SUM(E39:E43)</f>
        <v>0</v>
      </c>
      <c r="F44" s="3">
        <f>SUM(F39:F43)</f>
        <v>0</v>
      </c>
      <c r="G44" s="3">
        <f>SUM(G39:G43)</f>
        <v>0</v>
      </c>
      <c r="H44" s="3">
        <f>SUM(H39:H43)</f>
        <v>0</v>
      </c>
      <c r="I44" s="123">
        <f>AVERAGE(I39:I43)</f>
        <v>0</v>
      </c>
      <c r="J44" s="123">
        <f>AVERAGE(J39:J43)</f>
        <v>0</v>
      </c>
      <c r="K44" s="3">
        <f>SUM(K39:K43)</f>
        <v>0</v>
      </c>
      <c r="L44" s="2">
        <f>SUM(L39:L43)</f>
        <v>0</v>
      </c>
      <c r="O44" s="158" t="s">
        <v>64</v>
      </c>
      <c r="P44" s="306">
        <f>P41-P43</f>
        <v>0</v>
      </c>
    </row>
    <row r="46" spans="2:26" x14ac:dyDescent="0.25">
      <c r="U46" s="1"/>
    </row>
    <row r="47" spans="2:26" x14ac:dyDescent="0.25">
      <c r="P47" s="21"/>
      <c r="U47" s="20"/>
    </row>
    <row r="53" ht="15" customHeight="1" x14ac:dyDescent="0.25"/>
    <row r="56" ht="15" customHeight="1" x14ac:dyDescent="0.25"/>
    <row r="60" ht="15" customHeight="1" x14ac:dyDescent="0.25"/>
    <row r="64" ht="15" customHeight="1" x14ac:dyDescent="0.25"/>
  </sheetData>
  <sheetProtection sheet="1" objects="1" scenarios="1"/>
  <mergeCells count="53">
    <mergeCell ref="B2:O2"/>
    <mergeCell ref="B14:O14"/>
    <mergeCell ref="O26:U26"/>
    <mergeCell ref="J27:J28"/>
    <mergeCell ref="E27:E28"/>
    <mergeCell ref="M27:M28"/>
    <mergeCell ref="F3:F4"/>
    <mergeCell ref="E3:E4"/>
    <mergeCell ref="D3:D4"/>
    <mergeCell ref="C3:C4"/>
    <mergeCell ref="C27:C28"/>
    <mergeCell ref="D27:D28"/>
    <mergeCell ref="M3:M4"/>
    <mergeCell ref="K3:K4"/>
    <mergeCell ref="L3:L4"/>
    <mergeCell ref="O3:O4"/>
    <mergeCell ref="K27:K28"/>
    <mergeCell ref="L27:L28"/>
    <mergeCell ref="I3:I4"/>
    <mergeCell ref="G3:G4"/>
    <mergeCell ref="N3:N4"/>
    <mergeCell ref="G15:G16"/>
    <mergeCell ref="N15:N16"/>
    <mergeCell ref="B26:M26"/>
    <mergeCell ref="F27:F28"/>
    <mergeCell ref="H3:H4"/>
    <mergeCell ref="G27:G28"/>
    <mergeCell ref="H27:H28"/>
    <mergeCell ref="J3:J4"/>
    <mergeCell ref="I27:I28"/>
    <mergeCell ref="F15:F16"/>
    <mergeCell ref="O15:O16"/>
    <mergeCell ref="M15:M16"/>
    <mergeCell ref="C37:C38"/>
    <mergeCell ref="D37:D38"/>
    <mergeCell ref="E37:E38"/>
    <mergeCell ref="G37:G38"/>
    <mergeCell ref="H37:H38"/>
    <mergeCell ref="F37:F38"/>
    <mergeCell ref="H15:H16"/>
    <mergeCell ref="I15:I16"/>
    <mergeCell ref="J15:J16"/>
    <mergeCell ref="K15:K16"/>
    <mergeCell ref="L15:L16"/>
    <mergeCell ref="C15:C16"/>
    <mergeCell ref="D15:D16"/>
    <mergeCell ref="E15:E16"/>
    <mergeCell ref="B36:M36"/>
    <mergeCell ref="I37:I38"/>
    <mergeCell ref="J37:J38"/>
    <mergeCell ref="K37:K38"/>
    <mergeCell ref="L37:L38"/>
    <mergeCell ref="M37:M38"/>
  </mergeCells>
  <conditionalFormatting sqref="L29:L34">
    <cfRule type="colorScale" priority="22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2">
    <cfRule type="colorScale" priority="22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5">
    <cfRule type="colorScale" priority="18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6">
    <cfRule type="colorScale" priority="12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7">
    <cfRule type="colorScale" priority="12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8">
    <cfRule type="colorScale" priority="12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9">
    <cfRule type="colorScale" priority="12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0">
    <cfRule type="colorScale" priority="12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1">
    <cfRule type="colorScale" priority="11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4">
    <cfRule type="colorScale" priority="11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4">
    <cfRule type="colorScale" priority="10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7">
    <cfRule type="colorScale" priority="10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8">
    <cfRule type="colorScale" priority="10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9">
    <cfRule type="colorScale" priority="10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0">
    <cfRule type="colorScale" priority="10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1">
    <cfRule type="colorScale" priority="10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2">
    <cfRule type="colorScale" priority="10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3">
    <cfRule type="colorScale" priority="9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5">
    <cfRule type="colorScale" priority="9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6">
    <cfRule type="colorScale" priority="7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7">
    <cfRule type="colorScale" priority="7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8">
    <cfRule type="colorScale" priority="7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9">
    <cfRule type="colorScale" priority="7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0">
    <cfRule type="colorScale" priority="7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1">
    <cfRule type="colorScale" priority="7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7">
    <cfRule type="colorScale" priority="6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8">
    <cfRule type="colorScale" priority="6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9">
    <cfRule type="colorScale" priority="6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0">
    <cfRule type="colorScale" priority="6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1">
    <cfRule type="colorScale" priority="6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2">
    <cfRule type="colorScale" priority="6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3">
    <cfRule type="colorScale" priority="6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29">
    <cfRule type="colorScale" priority="6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0">
    <cfRule type="colorScale" priority="5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1">
    <cfRule type="colorScale" priority="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2">
    <cfRule type="colorScale" priority="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3">
    <cfRule type="colorScale" priority="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39:L44">
    <cfRule type="colorScale" priority="5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9">
    <cfRule type="colorScale" priority="5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0">
    <cfRule type="colorScale" priority="4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1">
    <cfRule type="colorScale" priority="4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2">
    <cfRule type="colorScale" priority="4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3">
    <cfRule type="colorScale" priority="4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44">
    <cfRule type="colorScale" priority="1">
      <colorScale>
        <cfvo type="num" val="-0.01"/>
        <cfvo type="num" val="0"/>
        <cfvo type="num" val="0.01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L41"/>
  <sheetViews>
    <sheetView showGridLines="0" zoomScaleNormal="100" zoomScaleSheetLayoutView="100" workbookViewId="0">
      <selection activeCell="I12" sqref="I12"/>
    </sheetView>
  </sheetViews>
  <sheetFormatPr defaultRowHeight="15" x14ac:dyDescent="0.25"/>
  <cols>
    <col min="2" max="3" width="20.7109375" customWidth="1"/>
    <col min="4" max="4" width="7.140625" customWidth="1"/>
    <col min="5" max="6" width="20.7109375" customWidth="1"/>
    <col min="7" max="7" width="7.140625" customWidth="1"/>
    <col min="8" max="9" width="20.7109375" customWidth="1"/>
    <col min="10" max="10" width="7.140625" customWidth="1"/>
    <col min="11" max="12" width="20.7109375" customWidth="1"/>
  </cols>
  <sheetData>
    <row r="1" spans="2:12" ht="15.75" thickBot="1" x14ac:dyDescent="0.3"/>
    <row r="2" spans="2:12" s="142" customFormat="1" ht="19.5" thickBot="1" x14ac:dyDescent="0.35">
      <c r="B2" s="262" t="s">
        <v>29</v>
      </c>
      <c r="C2" s="263"/>
      <c r="E2" s="264" t="s">
        <v>31</v>
      </c>
      <c r="F2" s="265"/>
      <c r="H2" s="266" t="s">
        <v>9</v>
      </c>
      <c r="I2" s="267"/>
      <c r="K2" s="268" t="s">
        <v>30</v>
      </c>
      <c r="L2" s="269"/>
    </row>
    <row r="3" spans="2:12" ht="15.75" thickBot="1" x14ac:dyDescent="0.3"/>
    <row r="4" spans="2:12" x14ac:dyDescent="0.25">
      <c r="B4" s="144" t="s">
        <v>73</v>
      </c>
      <c r="C4" s="145">
        <f>Houses!I10+Houses!E30+Houses!I20+Houses!E40</f>
        <v>0</v>
      </c>
      <c r="E4" s="144" t="s">
        <v>73</v>
      </c>
      <c r="F4" s="145">
        <f>Weapons!G12+Weapons!G34+Weapons!G24+Weapons!G44</f>
        <v>0</v>
      </c>
      <c r="H4" s="144" t="s">
        <v>73</v>
      </c>
      <c r="I4" s="145">
        <f>Food!G12+Food!G24+Food!G34+Food!G44</f>
        <v>0</v>
      </c>
      <c r="K4" s="144" t="s">
        <v>73</v>
      </c>
      <c r="L4" s="145">
        <f>Airplanes!F10+Airplanes!F20+Airplanes!E30+Airplanes!E40</f>
        <v>0</v>
      </c>
    </row>
    <row r="5" spans="2:12" x14ac:dyDescent="0.25">
      <c r="B5" s="146" t="s">
        <v>35</v>
      </c>
      <c r="C5" s="147">
        <v>0</v>
      </c>
      <c r="E5" s="146" t="s">
        <v>35</v>
      </c>
      <c r="F5" s="147">
        <f>Weapons!H12+Weapons!F34+Weapons!H24+Weapons!F44</f>
        <v>0</v>
      </c>
      <c r="H5" s="146" t="s">
        <v>35</v>
      </c>
      <c r="I5" s="147">
        <f>Food!H12+Food!H24+Food!F34+Food!F44</f>
        <v>0</v>
      </c>
      <c r="K5" s="146" t="s">
        <v>35</v>
      </c>
      <c r="L5" s="147">
        <v>0</v>
      </c>
    </row>
    <row r="6" spans="2:12" ht="15.75" thickBot="1" x14ac:dyDescent="0.3">
      <c r="B6" s="146" t="s">
        <v>44</v>
      </c>
      <c r="C6" s="147">
        <f>Houses!K10+Houses!K20</f>
        <v>0</v>
      </c>
      <c r="E6" s="146" t="s">
        <v>44</v>
      </c>
      <c r="F6" s="148">
        <f>Weapons!I12+Weapons!I24</f>
        <v>0</v>
      </c>
      <c r="H6" s="146" t="s">
        <v>44</v>
      </c>
      <c r="I6" s="148">
        <f>Food!I12+Food!I24</f>
        <v>0</v>
      </c>
      <c r="K6" s="146" t="s">
        <v>44</v>
      </c>
      <c r="L6" s="147">
        <f>Airplanes!G10+Airplanes!G20</f>
        <v>0</v>
      </c>
    </row>
    <row r="7" spans="2:12" ht="15.75" thickBot="1" x14ac:dyDescent="0.3">
      <c r="B7" s="34" t="s">
        <v>74</v>
      </c>
      <c r="C7" s="36">
        <f>C4+C5+C6</f>
        <v>0</v>
      </c>
      <c r="E7" s="34" t="s">
        <v>74</v>
      </c>
      <c r="F7" s="36">
        <f>F4+F5+F6</f>
        <v>0</v>
      </c>
      <c r="H7" s="34" t="s">
        <v>74</v>
      </c>
      <c r="I7" s="36">
        <f>I4+I5+I6</f>
        <v>0</v>
      </c>
      <c r="K7" s="34" t="s">
        <v>74</v>
      </c>
      <c r="L7" s="36">
        <f>L4+L5+L6</f>
        <v>0</v>
      </c>
    </row>
    <row r="8" spans="2:12" x14ac:dyDescent="0.25">
      <c r="B8" s="23" t="s">
        <v>75</v>
      </c>
      <c r="C8" s="24">
        <f>Houses!N10+Houses!I30+C9+Houses!N20+Houses!I40</f>
        <v>0</v>
      </c>
      <c r="E8" s="23" t="s">
        <v>75</v>
      </c>
      <c r="F8" s="24">
        <f>Weapons!M12+Weapons!M24+Weapons!K34+Weapons!K44+F9</f>
        <v>0</v>
      </c>
      <c r="H8" s="23" t="s">
        <v>75</v>
      </c>
      <c r="I8" s="24">
        <f>I9+Food!M12+Food!M24+Food!K34+Food!K44</f>
        <v>0</v>
      </c>
      <c r="K8" s="23" t="s">
        <v>75</v>
      </c>
      <c r="L8" s="24">
        <f>Airplanes!K10+Airplanes!K20+Airplanes!G30+Airplanes!G40+L9</f>
        <v>0</v>
      </c>
    </row>
    <row r="9" spans="2:12" ht="15.75" thickBot="1" x14ac:dyDescent="0.3">
      <c r="B9" s="23" t="s">
        <v>76</v>
      </c>
      <c r="C9" s="25">
        <f>(Houses!H5+Houses!H15)*Houses!O25+(Houses!H6+Houses!H16)*Houses!O26+(Houses!H7+Houses!H17)*Houses!O27+(Houses!H8+Houses!H18)*Houses!O28+(Houses!H9+Houses!H19)*Houses!O29+(Houses!D30+Houses!D40)*Houses!O24</f>
        <v>0</v>
      </c>
      <c r="E9" s="23" t="s">
        <v>76</v>
      </c>
      <c r="F9" s="25">
        <f>(Weapons!E5+Weapons!E17)*Weapons!Q29+(Weapons!E6+Weapons!E18)*Weapons!Q30+((Weapons!E7+Weapons!E19)*Weapons!Q31+(Weapons!E8+Weapons!E20)*Weapons!Q32+(Weapons!E9+Weapons!E21)*Weapons!Q33+(Weapons!E10+Weapons!E22)*Weapons!Q34+(Weapons!E11+Weapons!E23)*Weapons!Q35+(Weapons!E34+Weapons!E44)*Weapons!Q28)</f>
        <v>0</v>
      </c>
      <c r="H9" s="23" t="s">
        <v>76</v>
      </c>
      <c r="I9" s="25">
        <f>(Food!E5+Food!E17)*Food!Q29+(Food!E6+Food!E18)*Food!Q30+(Food!E7+Food!E19)*Food!Q31+(Food!E8+Food!E20)*Food!Q32+(Food!E9+Food!E21)*Food!Q33+(Food!E10+Food!E22)*Food!Q34+(Food!E11+Food!E23)*Food!Q35+(Food!E34+Food!E44)*Food!Q28</f>
        <v>0</v>
      </c>
      <c r="K9" s="23" t="s">
        <v>76</v>
      </c>
      <c r="L9" s="25">
        <f>(Airplanes!D5+Airplanes!D15)*Airplanes!N25+(Airplanes!D6+Airplanes!D16)*Airplanes!N26+(Airplanes!D7+Airplanes!D17)*Airplanes!N27+(Airplanes!D8+Airplanes!D18)*Airplanes!N28+(Airplanes!D9+Airplanes!D19)*Airplanes!N29+(Airplanes!D30+Airplanes!D40)*Airplanes!N24</f>
        <v>0</v>
      </c>
    </row>
    <row r="10" spans="2:12" ht="15.75" thickBot="1" x14ac:dyDescent="0.3">
      <c r="B10" s="22" t="s">
        <v>77</v>
      </c>
      <c r="C10" s="26">
        <f>C8-C9</f>
        <v>0</v>
      </c>
      <c r="E10" s="22" t="s">
        <v>77</v>
      </c>
      <c r="F10" s="26">
        <f>F8-F9</f>
        <v>0</v>
      </c>
      <c r="H10" s="22" t="s">
        <v>77</v>
      </c>
      <c r="I10" s="26">
        <f>I8-I9</f>
        <v>0</v>
      </c>
      <c r="K10" s="22" t="s">
        <v>77</v>
      </c>
      <c r="L10" s="26">
        <f>L8-L9</f>
        <v>0</v>
      </c>
    </row>
    <row r="11" spans="2:12" ht="15.75" thickBot="1" x14ac:dyDescent="0.3"/>
    <row r="12" spans="2:12" ht="15.75" thickBot="1" x14ac:dyDescent="0.3">
      <c r="B12" s="32" t="s">
        <v>48</v>
      </c>
      <c r="C12" s="27">
        <f>C10-C7</f>
        <v>0</v>
      </c>
      <c r="E12" s="32" t="s">
        <v>48</v>
      </c>
      <c r="F12" s="27">
        <f>F10-F7</f>
        <v>0</v>
      </c>
      <c r="H12" s="32" t="s">
        <v>48</v>
      </c>
      <c r="I12" s="27">
        <f>I10-I7</f>
        <v>0</v>
      </c>
      <c r="K12" s="32" t="s">
        <v>48</v>
      </c>
      <c r="L12" s="27">
        <f>L10-L7</f>
        <v>0</v>
      </c>
    </row>
    <row r="13" spans="2:12" ht="15.75" thickBot="1" x14ac:dyDescent="0.3">
      <c r="C13" s="38">
        <f>IFERROR(C12/C10,0)</f>
        <v>0</v>
      </c>
      <c r="F13" s="38">
        <f>IFERROR(F12/F10,0)</f>
        <v>0</v>
      </c>
      <c r="I13" s="38">
        <f>IFERROR(I12/I10,0)</f>
        <v>0</v>
      </c>
      <c r="L13" s="38">
        <f>IFERROR(L12/L10,0)</f>
        <v>0</v>
      </c>
    </row>
    <row r="16" spans="2:12" s="142" customFormat="1" ht="18.75" x14ac:dyDescent="0.3">
      <c r="C16" s="143"/>
      <c r="F16" s="270" t="s">
        <v>78</v>
      </c>
      <c r="G16" s="271"/>
      <c r="H16" s="271"/>
      <c r="K16" s="270" t="s">
        <v>79</v>
      </c>
      <c r="L16" s="272"/>
    </row>
    <row r="17" spans="6:12" ht="15.75" thickBot="1" x14ac:dyDescent="0.3"/>
    <row r="18" spans="6:12" x14ac:dyDescent="0.25">
      <c r="F18" s="144" t="s">
        <v>73</v>
      </c>
      <c r="G18" s="149"/>
      <c r="H18" s="145">
        <f>'Consolidated Results'!C4+'Consolidated Results'!F4+'Consolidated Results'!I4+'Consolidated Results'!L4</f>
        <v>0</v>
      </c>
      <c r="K18" s="144" t="s">
        <v>73</v>
      </c>
      <c r="L18" s="145">
        <f>H18*7</f>
        <v>0</v>
      </c>
    </row>
    <row r="19" spans="6:12" x14ac:dyDescent="0.25">
      <c r="F19" s="146" t="s">
        <v>35</v>
      </c>
      <c r="G19" s="150"/>
      <c r="H19" s="147">
        <f>'Consolidated Results'!C5+'Consolidated Results'!F5+'Consolidated Results'!I5+'Consolidated Results'!L5</f>
        <v>0</v>
      </c>
      <c r="K19" s="146" t="s">
        <v>35</v>
      </c>
      <c r="L19" s="147">
        <f>H19*7</f>
        <v>0</v>
      </c>
    </row>
    <row r="20" spans="6:12" ht="15.75" thickBot="1" x14ac:dyDescent="0.3">
      <c r="F20" s="146" t="s">
        <v>44</v>
      </c>
      <c r="G20" s="151"/>
      <c r="H20" s="152">
        <f>'Consolidated Results'!C6+'Consolidated Results'!F6+'Consolidated Results'!I6+'Consolidated Results'!L6</f>
        <v>0</v>
      </c>
      <c r="K20" s="146" t="s">
        <v>44</v>
      </c>
      <c r="L20" s="152">
        <f>H20*7</f>
        <v>0</v>
      </c>
    </row>
    <row r="21" spans="6:12" ht="15.75" thickBot="1" x14ac:dyDescent="0.3">
      <c r="F21" s="34" t="s">
        <v>74</v>
      </c>
      <c r="G21" s="35"/>
      <c r="H21" s="36">
        <f>H18+H19+H20</f>
        <v>0</v>
      </c>
      <c r="K21" s="34" t="s">
        <v>74</v>
      </c>
      <c r="L21" s="36">
        <f>L18+L19+L20</f>
        <v>0</v>
      </c>
    </row>
    <row r="22" spans="6:12" x14ac:dyDescent="0.25">
      <c r="F22" s="23" t="s">
        <v>75</v>
      </c>
      <c r="G22" s="30"/>
      <c r="H22" s="24">
        <f>'Consolidated Results'!C8+'Consolidated Results'!F8+'Consolidated Results'!I8+'Consolidated Results'!L8</f>
        <v>0</v>
      </c>
      <c r="K22" s="23" t="s">
        <v>75</v>
      </c>
      <c r="L22" s="24">
        <f>H22*7</f>
        <v>0</v>
      </c>
    </row>
    <row r="23" spans="6:12" ht="15.75" thickBot="1" x14ac:dyDescent="0.3">
      <c r="F23" s="23" t="s">
        <v>76</v>
      </c>
      <c r="G23" s="30"/>
      <c r="H23" s="25">
        <f>'Consolidated Results'!C9+'Consolidated Results'!F9+'Consolidated Results'!I9+'Consolidated Results'!L9</f>
        <v>0</v>
      </c>
      <c r="K23" s="23" t="s">
        <v>76</v>
      </c>
      <c r="L23" s="25">
        <f>H23*7</f>
        <v>0</v>
      </c>
    </row>
    <row r="24" spans="6:12" ht="15.75" thickBot="1" x14ac:dyDescent="0.3">
      <c r="F24" s="22" t="s">
        <v>77</v>
      </c>
      <c r="G24" s="31"/>
      <c r="H24" s="26">
        <f>H22-H23</f>
        <v>0</v>
      </c>
      <c r="K24" s="22" t="s">
        <v>77</v>
      </c>
      <c r="L24" s="26">
        <f>L22-L23</f>
        <v>0</v>
      </c>
    </row>
    <row r="25" spans="6:12" ht="15.75" thickBot="1" x14ac:dyDescent="0.3"/>
    <row r="26" spans="6:12" ht="15.75" thickBot="1" x14ac:dyDescent="0.3">
      <c r="F26" s="32" t="s">
        <v>48</v>
      </c>
      <c r="G26" s="33"/>
      <c r="H26" s="27">
        <f>H24-H21</f>
        <v>0</v>
      </c>
      <c r="I26" s="37"/>
      <c r="K26" s="32" t="s">
        <v>48</v>
      </c>
      <c r="L26" s="27">
        <f>L24-L21</f>
        <v>0</v>
      </c>
    </row>
    <row r="27" spans="6:12" ht="15.75" thickBot="1" x14ac:dyDescent="0.3">
      <c r="H27" s="38">
        <f>IFERROR(H26/H24,0)</f>
        <v>0</v>
      </c>
      <c r="L27" s="38">
        <f>IFERROR(L26/L24,0)</f>
        <v>0</v>
      </c>
    </row>
    <row r="41" spans="10:10" x14ac:dyDescent="0.25">
      <c r="J41" s="37"/>
    </row>
  </sheetData>
  <sheetProtection sheet="1" objects="1" scenarios="1"/>
  <mergeCells count="6">
    <mergeCell ref="B2:C2"/>
    <mergeCell ref="E2:F2"/>
    <mergeCell ref="H2:I2"/>
    <mergeCell ref="K2:L2"/>
    <mergeCell ref="F16:H16"/>
    <mergeCell ref="K16:L16"/>
  </mergeCells>
  <conditionalFormatting sqref="H26">
    <cfRule type="colorScale" priority="38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L26">
    <cfRule type="colorScale" priority="21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F12">
    <cfRule type="colorScale" priority="13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I12">
    <cfRule type="colorScale" priority="11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C12">
    <cfRule type="colorScale" priority="9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C13">
    <cfRule type="colorScale" priority="8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L12">
    <cfRule type="colorScale" priority="7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F13">
    <cfRule type="colorScale" priority="5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I13">
    <cfRule type="colorScale" priority="4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L13">
    <cfRule type="colorScale" priority="3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L27">
    <cfRule type="colorScale" priority="2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H27">
    <cfRule type="colorScale" priority="1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L2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23BD-546D-4EE9-9FCF-172A9C4ABF0B}">
  <sheetPr>
    <tabColor theme="0"/>
  </sheetPr>
  <dimension ref="B1:Y39"/>
  <sheetViews>
    <sheetView showGridLines="0" zoomScaleNormal="100" workbookViewId="0">
      <selection activeCell="H35" sqref="H35"/>
    </sheetView>
  </sheetViews>
  <sheetFormatPr defaultRowHeight="15" x14ac:dyDescent="0.25"/>
  <cols>
    <col min="1" max="1" width="1" style="188" customWidth="1"/>
    <col min="2" max="2" width="23.5703125" style="188" bestFit="1" customWidth="1"/>
    <col min="3" max="3" width="20.5703125" style="188" bestFit="1" customWidth="1"/>
    <col min="4" max="4" width="19" style="188" bestFit="1" customWidth="1"/>
    <col min="5" max="5" width="20.5703125" style="188" bestFit="1" customWidth="1"/>
    <col min="6" max="8" width="19" style="188" bestFit="1" customWidth="1"/>
    <col min="9" max="9" width="2.140625" style="188" customWidth="1"/>
    <col min="10" max="10" width="14.7109375" style="188" bestFit="1" customWidth="1"/>
    <col min="11" max="11" width="14.28515625" style="188" bestFit="1" customWidth="1"/>
    <col min="12" max="12" width="13.7109375" style="188" bestFit="1" customWidth="1"/>
    <col min="13" max="13" width="13.28515625" style="188" bestFit="1" customWidth="1"/>
    <col min="14" max="14" width="19" style="188" bestFit="1" customWidth="1"/>
    <col min="15" max="15" width="21.42578125" style="188" bestFit="1" customWidth="1"/>
    <col min="16" max="16" width="19" style="188" bestFit="1" customWidth="1"/>
    <col min="17" max="20" width="9.140625" style="188"/>
    <col min="21" max="21" width="13.7109375" style="188" bestFit="1" customWidth="1"/>
    <col min="22" max="22" width="11.42578125" style="188" bestFit="1" customWidth="1"/>
    <col min="23" max="23" width="6" style="188" bestFit="1" customWidth="1"/>
    <col min="24" max="24" width="9.5703125" style="188" bestFit="1" customWidth="1"/>
    <col min="25" max="25" width="13.28515625" style="188" bestFit="1" customWidth="1"/>
    <col min="26" max="16384" width="9.140625" style="188"/>
  </cols>
  <sheetData>
    <row r="1" spans="2:25" ht="15.75" thickBot="1" x14ac:dyDescent="0.3"/>
    <row r="2" spans="2:25" s="189" customFormat="1" ht="19.5" thickBot="1" x14ac:dyDescent="0.35">
      <c r="B2" s="279" t="str">
        <f>Houses!M22</f>
        <v>Stock - Houses</v>
      </c>
      <c r="C2" s="280"/>
      <c r="D2" s="280"/>
      <c r="E2" s="280"/>
      <c r="F2" s="280"/>
      <c r="G2" s="280"/>
      <c r="H2" s="281"/>
      <c r="J2" s="282" t="str">
        <f>Airplanes!L22</f>
        <v>Stock - Airplanes</v>
      </c>
      <c r="K2" s="283"/>
      <c r="L2" s="283"/>
      <c r="M2" s="283"/>
      <c r="N2" s="283"/>
      <c r="O2" s="283"/>
      <c r="P2" s="284"/>
    </row>
    <row r="3" spans="2:25" ht="15.75" thickBot="1" x14ac:dyDescent="0.3">
      <c r="B3" s="190" t="s">
        <v>36</v>
      </c>
      <c r="C3" s="191" t="s">
        <v>55</v>
      </c>
      <c r="D3" s="192" t="s">
        <v>34</v>
      </c>
      <c r="E3" s="191" t="s">
        <v>56</v>
      </c>
      <c r="F3" s="191" t="s">
        <v>57</v>
      </c>
      <c r="G3" s="191" t="s">
        <v>58</v>
      </c>
      <c r="H3" s="193" t="s">
        <v>59</v>
      </c>
      <c r="J3" s="190" t="s">
        <v>36</v>
      </c>
      <c r="K3" s="191" t="s">
        <v>55</v>
      </c>
      <c r="L3" s="192" t="s">
        <v>34</v>
      </c>
      <c r="M3" s="191" t="s">
        <v>56</v>
      </c>
      <c r="N3" s="191" t="s">
        <v>57</v>
      </c>
      <c r="O3" s="191" t="s">
        <v>58</v>
      </c>
      <c r="P3" s="193" t="s">
        <v>59</v>
      </c>
    </row>
    <row r="4" spans="2:25" x14ac:dyDescent="0.25">
      <c r="B4" s="194" t="s">
        <v>8</v>
      </c>
      <c r="C4" s="195">
        <f>Houses!N24</f>
        <v>0</v>
      </c>
      <c r="D4" s="196">
        <f>Houses!O24</f>
        <v>0</v>
      </c>
      <c r="E4" s="197">
        <f>Houses!P24</f>
        <v>0</v>
      </c>
      <c r="F4" s="198">
        <f>Houses!Q24</f>
        <v>0</v>
      </c>
      <c r="G4" s="196">
        <f>Houses!R24</f>
        <v>0</v>
      </c>
      <c r="H4" s="199">
        <f>Houses!S24</f>
        <v>0</v>
      </c>
      <c r="J4" s="194" t="s">
        <v>8</v>
      </c>
      <c r="K4" s="195">
        <f>Airplanes!M24</f>
        <v>0</v>
      </c>
      <c r="L4" s="198">
        <f>Airplanes!N24</f>
        <v>0</v>
      </c>
      <c r="M4" s="195">
        <f>Airplanes!O24</f>
        <v>0</v>
      </c>
      <c r="N4" s="198">
        <f>Airplanes!P24</f>
        <v>0</v>
      </c>
      <c r="O4" s="196">
        <f>Airplanes!Q24</f>
        <v>0</v>
      </c>
      <c r="P4" s="199">
        <f>Airplanes!R24</f>
        <v>0</v>
      </c>
    </row>
    <row r="5" spans="2:25" x14ac:dyDescent="0.25">
      <c r="B5" s="194" t="s">
        <v>0</v>
      </c>
      <c r="C5" s="195">
        <f>Houses!N25</f>
        <v>0</v>
      </c>
      <c r="D5" s="196">
        <f>Houses!O25</f>
        <v>0</v>
      </c>
      <c r="E5" s="197">
        <f>Houses!P25</f>
        <v>0</v>
      </c>
      <c r="F5" s="196">
        <f>Houses!Q25</f>
        <v>0</v>
      </c>
      <c r="G5" s="196">
        <f>Houses!R25</f>
        <v>0</v>
      </c>
      <c r="H5" s="199">
        <f>Houses!S25</f>
        <v>0</v>
      </c>
      <c r="J5" s="194" t="s">
        <v>0</v>
      </c>
      <c r="K5" s="195">
        <f>Airplanes!M25</f>
        <v>0</v>
      </c>
      <c r="L5" s="196">
        <f>Airplanes!N25</f>
        <v>0</v>
      </c>
      <c r="M5" s="195">
        <f>Airplanes!O25</f>
        <v>0</v>
      </c>
      <c r="N5" s="196">
        <f>Airplanes!P25</f>
        <v>0</v>
      </c>
      <c r="O5" s="196">
        <f>Airplanes!Q25</f>
        <v>0</v>
      </c>
      <c r="P5" s="199">
        <f>Airplanes!R25</f>
        <v>0</v>
      </c>
    </row>
    <row r="6" spans="2:25" x14ac:dyDescent="0.25">
      <c r="B6" s="194" t="s">
        <v>1</v>
      </c>
      <c r="C6" s="195">
        <f>Houses!N26</f>
        <v>0</v>
      </c>
      <c r="D6" s="196">
        <f>Houses!O26</f>
        <v>0</v>
      </c>
      <c r="E6" s="197">
        <f>Houses!P26</f>
        <v>0</v>
      </c>
      <c r="F6" s="196">
        <f>Houses!Q26</f>
        <v>0</v>
      </c>
      <c r="G6" s="196">
        <f>Houses!R26</f>
        <v>0</v>
      </c>
      <c r="H6" s="199">
        <f>Houses!S26</f>
        <v>0</v>
      </c>
      <c r="J6" s="194" t="s">
        <v>1</v>
      </c>
      <c r="K6" s="195">
        <f>Airplanes!M26</f>
        <v>0</v>
      </c>
      <c r="L6" s="196">
        <f>Airplanes!N26</f>
        <v>0</v>
      </c>
      <c r="M6" s="195">
        <f>Airplanes!O26</f>
        <v>0</v>
      </c>
      <c r="N6" s="196">
        <f>Airplanes!P26</f>
        <v>0</v>
      </c>
      <c r="O6" s="196">
        <f>Airplanes!Q26</f>
        <v>0</v>
      </c>
      <c r="P6" s="199">
        <f>Airplanes!R26</f>
        <v>0</v>
      </c>
      <c r="Y6" s="200">
        <f>P27/657.981</f>
        <v>0</v>
      </c>
    </row>
    <row r="7" spans="2:25" x14ac:dyDescent="0.25">
      <c r="B7" s="194" t="s">
        <v>2</v>
      </c>
      <c r="C7" s="195">
        <f>Houses!N27</f>
        <v>0</v>
      </c>
      <c r="D7" s="196">
        <f>Houses!O27</f>
        <v>0</v>
      </c>
      <c r="E7" s="197">
        <f>Houses!P27</f>
        <v>0</v>
      </c>
      <c r="F7" s="196">
        <f>Houses!Q27</f>
        <v>0</v>
      </c>
      <c r="G7" s="196">
        <f>Houses!R27</f>
        <v>0</v>
      </c>
      <c r="H7" s="199">
        <f>Houses!S27</f>
        <v>0</v>
      </c>
      <c r="J7" s="194" t="s">
        <v>2</v>
      </c>
      <c r="K7" s="195">
        <f>Airplanes!M27</f>
        <v>0</v>
      </c>
      <c r="L7" s="196">
        <f>Airplanes!N27</f>
        <v>0</v>
      </c>
      <c r="M7" s="195">
        <f>Airplanes!O27</f>
        <v>0</v>
      </c>
      <c r="N7" s="196">
        <f>Airplanes!P27</f>
        <v>0</v>
      </c>
      <c r="O7" s="196">
        <f>Airplanes!Q27</f>
        <v>0</v>
      </c>
      <c r="P7" s="199">
        <f>Airplanes!R27</f>
        <v>0</v>
      </c>
    </row>
    <row r="8" spans="2:25" x14ac:dyDescent="0.25">
      <c r="B8" s="194" t="s">
        <v>3</v>
      </c>
      <c r="C8" s="195">
        <f>Houses!N28</f>
        <v>0</v>
      </c>
      <c r="D8" s="196">
        <f>Houses!O28</f>
        <v>0</v>
      </c>
      <c r="E8" s="197">
        <f>Houses!P28</f>
        <v>0</v>
      </c>
      <c r="F8" s="196">
        <f>Houses!Q28</f>
        <v>0</v>
      </c>
      <c r="G8" s="196">
        <f>Houses!R28</f>
        <v>0</v>
      </c>
      <c r="H8" s="199">
        <f>Houses!S28</f>
        <v>0</v>
      </c>
      <c r="J8" s="194" t="s">
        <v>3</v>
      </c>
      <c r="K8" s="195">
        <f>Airplanes!M28</f>
        <v>0</v>
      </c>
      <c r="L8" s="196">
        <f>Airplanes!N28</f>
        <v>0</v>
      </c>
      <c r="M8" s="195">
        <f>Airplanes!O28</f>
        <v>0</v>
      </c>
      <c r="N8" s="196">
        <f>Airplanes!P28</f>
        <v>0</v>
      </c>
      <c r="O8" s="196">
        <f>Airplanes!Q28</f>
        <v>0</v>
      </c>
      <c r="P8" s="199">
        <f>Airplanes!R28</f>
        <v>0</v>
      </c>
    </row>
    <row r="9" spans="2:25" x14ac:dyDescent="0.25">
      <c r="B9" s="194" t="s">
        <v>4</v>
      </c>
      <c r="C9" s="195">
        <f>Houses!N29</f>
        <v>0</v>
      </c>
      <c r="D9" s="196">
        <f>Houses!O29</f>
        <v>0</v>
      </c>
      <c r="E9" s="197">
        <f>Houses!P29</f>
        <v>0</v>
      </c>
      <c r="F9" s="196">
        <f>Houses!Q29</f>
        <v>0</v>
      </c>
      <c r="G9" s="196">
        <f>Houses!R29</f>
        <v>0</v>
      </c>
      <c r="H9" s="199">
        <f>Houses!S29</f>
        <v>0</v>
      </c>
      <c r="J9" s="194" t="s">
        <v>4</v>
      </c>
      <c r="K9" s="195">
        <f>Airplanes!M29</f>
        <v>0</v>
      </c>
      <c r="L9" s="196">
        <f>Airplanes!N29</f>
        <v>0</v>
      </c>
      <c r="M9" s="195">
        <f>Airplanes!O29</f>
        <v>0</v>
      </c>
      <c r="N9" s="196">
        <f>Airplanes!P29</f>
        <v>0</v>
      </c>
      <c r="O9" s="196">
        <f>Airplanes!Q29</f>
        <v>0</v>
      </c>
      <c r="P9" s="199">
        <f>Airplanes!R29</f>
        <v>0</v>
      </c>
    </row>
    <row r="10" spans="2:25" ht="15.75" thickBot="1" x14ac:dyDescent="0.3">
      <c r="B10" s="201"/>
      <c r="C10" s="202">
        <f>Houses!N30</f>
        <v>0</v>
      </c>
      <c r="D10" s="203">
        <f>Houses!O30</f>
        <v>0</v>
      </c>
      <c r="E10" s="202">
        <f>Houses!P30</f>
        <v>0</v>
      </c>
      <c r="F10" s="202">
        <f>Houses!Q30</f>
        <v>0</v>
      </c>
      <c r="G10" s="204">
        <f>Houses!R30</f>
        <v>0</v>
      </c>
      <c r="H10" s="204">
        <f>Houses!S30</f>
        <v>0</v>
      </c>
      <c r="J10" s="201"/>
      <c r="K10" s="202">
        <f>Airplanes!M30</f>
        <v>0</v>
      </c>
      <c r="L10" s="202">
        <f>Airplanes!N30</f>
        <v>0</v>
      </c>
      <c r="M10" s="202">
        <f>Airplanes!O30</f>
        <v>0</v>
      </c>
      <c r="N10" s="202">
        <f>Airplanes!P30</f>
        <v>0</v>
      </c>
      <c r="O10" s="204">
        <f>Airplanes!Q30</f>
        <v>0</v>
      </c>
      <c r="P10" s="204">
        <f>Airplanes!R30</f>
        <v>0</v>
      </c>
    </row>
    <row r="11" spans="2:25" ht="15.75" thickBot="1" x14ac:dyDescent="0.3"/>
    <row r="12" spans="2:25" s="189" customFormat="1" ht="19.5" thickBot="1" x14ac:dyDescent="0.35">
      <c r="B12" s="285" t="str">
        <f>Weapons!O26</f>
        <v>Stock - Weapons</v>
      </c>
      <c r="C12" s="286"/>
      <c r="D12" s="286"/>
      <c r="E12" s="286"/>
      <c r="F12" s="286"/>
      <c r="G12" s="286"/>
      <c r="H12" s="287"/>
      <c r="J12" s="288" t="str">
        <f>Food!O26</f>
        <v>Stock - Food</v>
      </c>
      <c r="K12" s="289"/>
      <c r="L12" s="289"/>
      <c r="M12" s="289"/>
      <c r="N12" s="289"/>
      <c r="O12" s="289"/>
      <c r="P12" s="290"/>
    </row>
    <row r="13" spans="2:25" ht="15.75" thickBot="1" x14ac:dyDescent="0.3">
      <c r="B13" s="190" t="s">
        <v>36</v>
      </c>
      <c r="C13" s="191" t="s">
        <v>55</v>
      </c>
      <c r="D13" s="192" t="s">
        <v>34</v>
      </c>
      <c r="E13" s="191" t="s">
        <v>56</v>
      </c>
      <c r="F13" s="191" t="s">
        <v>57</v>
      </c>
      <c r="G13" s="191" t="s">
        <v>58</v>
      </c>
      <c r="H13" s="193" t="s">
        <v>59</v>
      </c>
      <c r="J13" s="190" t="s">
        <v>36</v>
      </c>
      <c r="K13" s="191" t="s">
        <v>55</v>
      </c>
      <c r="L13" s="192" t="s">
        <v>34</v>
      </c>
      <c r="M13" s="191" t="s">
        <v>56</v>
      </c>
      <c r="N13" s="191" t="s">
        <v>57</v>
      </c>
      <c r="O13" s="191" t="s">
        <v>58</v>
      </c>
      <c r="P13" s="193" t="s">
        <v>59</v>
      </c>
    </row>
    <row r="14" spans="2:25" x14ac:dyDescent="0.25">
      <c r="B14" s="194" t="s">
        <v>8</v>
      </c>
      <c r="C14" s="195">
        <f>Weapons!P28</f>
        <v>0</v>
      </c>
      <c r="D14" s="196">
        <f>Weapons!Q28</f>
        <v>0</v>
      </c>
      <c r="E14" s="195">
        <f>Weapons!R28</f>
        <v>0</v>
      </c>
      <c r="F14" s="196">
        <f>Weapons!S28</f>
        <v>0</v>
      </c>
      <c r="G14" s="196">
        <f>Weapons!T28</f>
        <v>0</v>
      </c>
      <c r="H14" s="199">
        <f>Weapons!U28</f>
        <v>0</v>
      </c>
      <c r="J14" s="194" t="s">
        <v>8</v>
      </c>
      <c r="K14" s="195">
        <f>Food!P28</f>
        <v>0</v>
      </c>
      <c r="L14" s="196">
        <f>Food!Q28</f>
        <v>0</v>
      </c>
      <c r="M14" s="195">
        <f>Food!R28</f>
        <v>0</v>
      </c>
      <c r="N14" s="196">
        <f>Food!S28</f>
        <v>0</v>
      </c>
      <c r="O14" s="196">
        <f>Food!T28</f>
        <v>0</v>
      </c>
      <c r="P14" s="199">
        <f>Food!U28</f>
        <v>0</v>
      </c>
    </row>
    <row r="15" spans="2:25" x14ac:dyDescent="0.25">
      <c r="B15" s="194" t="s">
        <v>0</v>
      </c>
      <c r="C15" s="195">
        <f>Weapons!P29</f>
        <v>0</v>
      </c>
      <c r="D15" s="196">
        <f>Weapons!Q29</f>
        <v>0</v>
      </c>
      <c r="E15" s="195">
        <f>Weapons!R29</f>
        <v>0</v>
      </c>
      <c r="F15" s="196">
        <f>Weapons!S29</f>
        <v>0</v>
      </c>
      <c r="G15" s="196">
        <f>Weapons!T29</f>
        <v>0</v>
      </c>
      <c r="H15" s="199">
        <f>Weapons!U29</f>
        <v>0</v>
      </c>
      <c r="J15" s="194" t="s">
        <v>0</v>
      </c>
      <c r="K15" s="195">
        <f>Food!P29</f>
        <v>0</v>
      </c>
      <c r="L15" s="196">
        <f>Food!Q29</f>
        <v>0</v>
      </c>
      <c r="M15" s="195">
        <f>Food!R29</f>
        <v>0</v>
      </c>
      <c r="N15" s="196">
        <f>Food!S29</f>
        <v>0</v>
      </c>
      <c r="O15" s="196">
        <f>Food!T29</f>
        <v>0</v>
      </c>
      <c r="P15" s="199">
        <f>Food!U29</f>
        <v>0</v>
      </c>
    </row>
    <row r="16" spans="2:25" x14ac:dyDescent="0.25">
      <c r="B16" s="194" t="s">
        <v>1</v>
      </c>
      <c r="C16" s="195">
        <f>Weapons!P30</f>
        <v>0</v>
      </c>
      <c r="D16" s="196">
        <f>Weapons!Q30</f>
        <v>0</v>
      </c>
      <c r="E16" s="195">
        <f>Weapons!R30</f>
        <v>0</v>
      </c>
      <c r="F16" s="196">
        <f>Weapons!S30</f>
        <v>0</v>
      </c>
      <c r="G16" s="196">
        <f>Weapons!T30</f>
        <v>0</v>
      </c>
      <c r="H16" s="199">
        <f>Weapons!U30</f>
        <v>0</v>
      </c>
      <c r="J16" s="194" t="s">
        <v>1</v>
      </c>
      <c r="K16" s="195">
        <f>Food!P30</f>
        <v>0</v>
      </c>
      <c r="L16" s="196">
        <f>Food!Q30</f>
        <v>0</v>
      </c>
      <c r="M16" s="195">
        <f>Food!R30</f>
        <v>0</v>
      </c>
      <c r="N16" s="196">
        <f>Food!S30</f>
        <v>0</v>
      </c>
      <c r="O16" s="196">
        <f>Food!T30</f>
        <v>0</v>
      </c>
      <c r="P16" s="199">
        <f>Food!U30</f>
        <v>0</v>
      </c>
    </row>
    <row r="17" spans="2:16" x14ac:dyDescent="0.25">
      <c r="B17" s="194" t="s">
        <v>2</v>
      </c>
      <c r="C17" s="195">
        <f>Weapons!P31</f>
        <v>0</v>
      </c>
      <c r="D17" s="196">
        <f>Weapons!Q31</f>
        <v>0</v>
      </c>
      <c r="E17" s="195">
        <f>Weapons!R31</f>
        <v>0</v>
      </c>
      <c r="F17" s="196">
        <f>Weapons!S31</f>
        <v>0</v>
      </c>
      <c r="G17" s="196">
        <f>Weapons!T31</f>
        <v>0</v>
      </c>
      <c r="H17" s="199">
        <f>Weapons!U31</f>
        <v>0</v>
      </c>
      <c r="J17" s="194" t="s">
        <v>2</v>
      </c>
      <c r="K17" s="195">
        <f>Food!P31</f>
        <v>0</v>
      </c>
      <c r="L17" s="196">
        <f>Food!Q31</f>
        <v>0</v>
      </c>
      <c r="M17" s="195">
        <f>Food!R31</f>
        <v>0</v>
      </c>
      <c r="N17" s="196">
        <f>Food!S31</f>
        <v>0</v>
      </c>
      <c r="O17" s="196">
        <f>Food!T31</f>
        <v>0</v>
      </c>
      <c r="P17" s="199">
        <f>Food!U31</f>
        <v>0</v>
      </c>
    </row>
    <row r="18" spans="2:16" x14ac:dyDescent="0.25">
      <c r="B18" s="194" t="s">
        <v>3</v>
      </c>
      <c r="C18" s="195">
        <f>Weapons!P32</f>
        <v>0</v>
      </c>
      <c r="D18" s="196">
        <f>Weapons!Q32</f>
        <v>0</v>
      </c>
      <c r="E18" s="195">
        <f>Weapons!R32</f>
        <v>0</v>
      </c>
      <c r="F18" s="196">
        <f>Weapons!S32</f>
        <v>0</v>
      </c>
      <c r="G18" s="196">
        <f>Weapons!T32</f>
        <v>0</v>
      </c>
      <c r="H18" s="199">
        <f>Weapons!U32</f>
        <v>0</v>
      </c>
      <c r="J18" s="194" t="s">
        <v>3</v>
      </c>
      <c r="K18" s="195">
        <f>Food!P32</f>
        <v>0</v>
      </c>
      <c r="L18" s="196">
        <f>Food!Q32</f>
        <v>0</v>
      </c>
      <c r="M18" s="195">
        <f>Food!R32</f>
        <v>0</v>
      </c>
      <c r="N18" s="196">
        <f>Food!S32</f>
        <v>0</v>
      </c>
      <c r="O18" s="196">
        <f>Food!T32</f>
        <v>0</v>
      </c>
      <c r="P18" s="199">
        <f>Food!U32</f>
        <v>0</v>
      </c>
    </row>
    <row r="19" spans="2:16" x14ac:dyDescent="0.25">
      <c r="B19" s="194" t="s">
        <v>4</v>
      </c>
      <c r="C19" s="195">
        <f>Weapons!P33</f>
        <v>0</v>
      </c>
      <c r="D19" s="196">
        <f>Weapons!Q33</f>
        <v>0</v>
      </c>
      <c r="E19" s="195">
        <f>Weapons!R33</f>
        <v>0</v>
      </c>
      <c r="F19" s="196">
        <f>Weapons!S33</f>
        <v>0</v>
      </c>
      <c r="G19" s="196">
        <f>Weapons!T33</f>
        <v>0</v>
      </c>
      <c r="H19" s="199">
        <f>Weapons!U33</f>
        <v>0</v>
      </c>
      <c r="J19" s="194" t="s">
        <v>4</v>
      </c>
      <c r="K19" s="195">
        <f>Food!P33</f>
        <v>0</v>
      </c>
      <c r="L19" s="196">
        <f>Food!Q33</f>
        <v>0</v>
      </c>
      <c r="M19" s="195">
        <f>Food!R33</f>
        <v>0</v>
      </c>
      <c r="N19" s="196">
        <f>Food!S33</f>
        <v>0</v>
      </c>
      <c r="O19" s="196">
        <f>Food!T33</f>
        <v>0</v>
      </c>
      <c r="P19" s="199">
        <f>Food!U33</f>
        <v>0</v>
      </c>
    </row>
    <row r="20" spans="2:16" x14ac:dyDescent="0.25">
      <c r="B20" s="194" t="s">
        <v>6</v>
      </c>
      <c r="C20" s="195">
        <f>Weapons!P34</f>
        <v>0</v>
      </c>
      <c r="D20" s="196">
        <f>Weapons!Q34</f>
        <v>0</v>
      </c>
      <c r="E20" s="195">
        <f>Weapons!R34</f>
        <v>0</v>
      </c>
      <c r="F20" s="196">
        <f>Weapons!S34</f>
        <v>0</v>
      </c>
      <c r="G20" s="196">
        <f>Weapons!T34</f>
        <v>0</v>
      </c>
      <c r="H20" s="199">
        <f>Weapons!U34</f>
        <v>0</v>
      </c>
      <c r="J20" s="194" t="s">
        <v>6</v>
      </c>
      <c r="K20" s="195">
        <f>Food!P34</f>
        <v>0</v>
      </c>
      <c r="L20" s="196">
        <f>Food!Q34</f>
        <v>0</v>
      </c>
      <c r="M20" s="195">
        <f>Food!R34</f>
        <v>0</v>
      </c>
      <c r="N20" s="196">
        <f>Food!S34</f>
        <v>0</v>
      </c>
      <c r="O20" s="196">
        <f>Food!T34</f>
        <v>0</v>
      </c>
      <c r="P20" s="199">
        <f>Food!U34</f>
        <v>0</v>
      </c>
    </row>
    <row r="21" spans="2:16" x14ac:dyDescent="0.25">
      <c r="B21" s="194" t="s">
        <v>7</v>
      </c>
      <c r="C21" s="195">
        <f>Weapons!P35</f>
        <v>0</v>
      </c>
      <c r="D21" s="196">
        <f>Weapons!Q35</f>
        <v>0</v>
      </c>
      <c r="E21" s="195">
        <f>Weapons!R35</f>
        <v>0</v>
      </c>
      <c r="F21" s="196">
        <f>Weapons!S35</f>
        <v>0</v>
      </c>
      <c r="G21" s="196">
        <f>Weapons!T35</f>
        <v>0</v>
      </c>
      <c r="H21" s="199">
        <f>Weapons!U35</f>
        <v>0</v>
      </c>
      <c r="J21" s="194" t="s">
        <v>7</v>
      </c>
      <c r="K21" s="195">
        <f>Food!P35</f>
        <v>0</v>
      </c>
      <c r="L21" s="196">
        <f>Food!Q35</f>
        <v>0</v>
      </c>
      <c r="M21" s="195">
        <f>Food!R35</f>
        <v>0</v>
      </c>
      <c r="N21" s="196">
        <f>Food!S35</f>
        <v>0</v>
      </c>
      <c r="O21" s="196">
        <f>Food!T35</f>
        <v>0</v>
      </c>
      <c r="P21" s="199">
        <f>Food!U35</f>
        <v>0</v>
      </c>
    </row>
    <row r="22" spans="2:16" ht="15.75" thickBot="1" x14ac:dyDescent="0.3">
      <c r="B22" s="201"/>
      <c r="C22" s="202">
        <f>Weapons!P36</f>
        <v>0</v>
      </c>
      <c r="D22" s="203">
        <f>Weapons!Q36</f>
        <v>0</v>
      </c>
      <c r="E22" s="202">
        <f>Weapons!R36</f>
        <v>0</v>
      </c>
      <c r="F22" s="202">
        <f>Weapons!S36</f>
        <v>0</v>
      </c>
      <c r="G22" s="202">
        <f>Weapons!T36</f>
        <v>0</v>
      </c>
      <c r="H22" s="204">
        <f>Weapons!U36</f>
        <v>0</v>
      </c>
      <c r="J22" s="201"/>
      <c r="K22" s="202">
        <f>Food!P36</f>
        <v>0</v>
      </c>
      <c r="L22" s="203">
        <f>Food!Q36</f>
        <v>0</v>
      </c>
      <c r="M22" s="202">
        <f>Food!R36</f>
        <v>0</v>
      </c>
      <c r="N22" s="202">
        <f>Food!S36</f>
        <v>0</v>
      </c>
      <c r="O22" s="202">
        <f>Food!T36</f>
        <v>0</v>
      </c>
      <c r="P22" s="204">
        <f>Food!U36</f>
        <v>0</v>
      </c>
    </row>
    <row r="23" spans="2:16" ht="15.75" thickBot="1" x14ac:dyDescent="0.3"/>
    <row r="24" spans="2:16" s="189" customFormat="1" ht="19.5" thickBot="1" x14ac:dyDescent="0.35">
      <c r="B24" s="273" t="s">
        <v>12</v>
      </c>
      <c r="C24" s="274"/>
      <c r="D24" s="274"/>
      <c r="E24" s="274"/>
      <c r="F24" s="274"/>
      <c r="G24" s="274"/>
      <c r="H24" s="275"/>
      <c r="J24" s="188"/>
      <c r="K24" s="188"/>
      <c r="L24" s="188"/>
      <c r="M24" s="188"/>
      <c r="N24" s="188"/>
      <c r="O24" s="188"/>
      <c r="P24" s="188"/>
    </row>
    <row r="25" spans="2:16" ht="15.75" thickBot="1" x14ac:dyDescent="0.3">
      <c r="B25" s="190" t="s">
        <v>36</v>
      </c>
      <c r="C25" s="191" t="s">
        <v>55</v>
      </c>
      <c r="D25" s="192" t="s">
        <v>34</v>
      </c>
      <c r="E25" s="191" t="s">
        <v>56</v>
      </c>
      <c r="F25" s="191" t="s">
        <v>57</v>
      </c>
      <c r="G25" s="191" t="s">
        <v>58</v>
      </c>
      <c r="H25" s="193" t="s">
        <v>59</v>
      </c>
    </row>
    <row r="26" spans="2:16" x14ac:dyDescent="0.25">
      <c r="B26" s="205" t="s">
        <v>0</v>
      </c>
      <c r="C26" s="45"/>
      <c r="D26" s="206">
        <f>C26*'Effective Tax'!$B$3%</f>
        <v>0</v>
      </c>
      <c r="E26" s="140">
        <v>0</v>
      </c>
      <c r="F26" s="207">
        <f>C26*E26</f>
        <v>0</v>
      </c>
      <c r="G26" s="207">
        <f>D26*E26</f>
        <v>0</v>
      </c>
      <c r="H26" s="208">
        <f>F26-G26</f>
        <v>0</v>
      </c>
    </row>
    <row r="27" spans="2:16" x14ac:dyDescent="0.25">
      <c r="B27" s="205" t="s">
        <v>1</v>
      </c>
      <c r="C27" s="45"/>
      <c r="D27" s="206">
        <f>C27*'Effective Tax'!$B$3%</f>
        <v>0</v>
      </c>
      <c r="E27" s="140">
        <v>0</v>
      </c>
      <c r="F27" s="207">
        <f>C27*E27</f>
        <v>0</v>
      </c>
      <c r="G27" s="207">
        <f>D27*E27</f>
        <v>0</v>
      </c>
      <c r="H27" s="208">
        <f>F27-G27</f>
        <v>0</v>
      </c>
    </row>
    <row r="28" spans="2:16" x14ac:dyDescent="0.25">
      <c r="B28" s="205" t="s">
        <v>2</v>
      </c>
      <c r="C28" s="45"/>
      <c r="D28" s="206">
        <f>C28*'Effective Tax'!$B$3%</f>
        <v>0</v>
      </c>
      <c r="E28" s="140">
        <v>0</v>
      </c>
      <c r="F28" s="207">
        <f>C28*E28</f>
        <v>0</v>
      </c>
      <c r="G28" s="207">
        <f>D28*E28</f>
        <v>0</v>
      </c>
      <c r="H28" s="208">
        <f>F28-G28</f>
        <v>0</v>
      </c>
    </row>
    <row r="29" spans="2:16" x14ac:dyDescent="0.25">
      <c r="B29" s="205" t="s">
        <v>3</v>
      </c>
      <c r="C29" s="45"/>
      <c r="D29" s="206">
        <f>C29*'Effective Tax'!$B$3%</f>
        <v>0</v>
      </c>
      <c r="E29" s="140">
        <v>0</v>
      </c>
      <c r="F29" s="207">
        <f>C29*E29</f>
        <v>0</v>
      </c>
      <c r="G29" s="207">
        <f>D29*E29</f>
        <v>0</v>
      </c>
      <c r="H29" s="208">
        <f>F29-G29</f>
        <v>0</v>
      </c>
    </row>
    <row r="30" spans="2:16" x14ac:dyDescent="0.25">
      <c r="B30" s="205" t="s">
        <v>4</v>
      </c>
      <c r="C30" s="45"/>
      <c r="D30" s="206">
        <f>C30*'Effective Tax'!$B$3%</f>
        <v>0</v>
      </c>
      <c r="E30" s="141">
        <v>0</v>
      </c>
      <c r="F30" s="207">
        <f>C30*E30</f>
        <v>0</v>
      </c>
      <c r="G30" s="207">
        <f>D30*E30</f>
        <v>0</v>
      </c>
      <c r="H30" s="208">
        <f>F30-G30</f>
        <v>0</v>
      </c>
    </row>
    <row r="31" spans="2:16" ht="15.75" thickBot="1" x14ac:dyDescent="0.3">
      <c r="B31" s="209"/>
      <c r="C31" s="210"/>
      <c r="D31" s="210">
        <f>SUM(D26:D30)</f>
        <v>0</v>
      </c>
      <c r="E31" s="211"/>
      <c r="F31" s="210">
        <f>SUM(F26:F30)</f>
        <v>0</v>
      </c>
      <c r="G31" s="210">
        <f>SUM(G26:G30)</f>
        <v>0</v>
      </c>
      <c r="H31" s="212">
        <f>SUM(H26:H30)</f>
        <v>0</v>
      </c>
    </row>
    <row r="32" spans="2:16" ht="15.75" thickBot="1" x14ac:dyDescent="0.3"/>
    <row r="33" spans="2:6" s="189" customFormat="1" ht="19.5" thickBot="1" x14ac:dyDescent="0.35">
      <c r="B33" s="276" t="s">
        <v>80</v>
      </c>
      <c r="C33" s="277"/>
      <c r="D33" s="277"/>
      <c r="E33" s="277"/>
      <c r="F33" s="278"/>
    </row>
    <row r="34" spans="2:6" ht="15.75" thickBot="1" x14ac:dyDescent="0.3">
      <c r="B34" s="213" t="s">
        <v>81</v>
      </c>
      <c r="C34" s="191" t="s">
        <v>57</v>
      </c>
      <c r="D34" s="191" t="s">
        <v>58</v>
      </c>
      <c r="E34" s="214" t="s">
        <v>59</v>
      </c>
      <c r="F34" s="215" t="s">
        <v>82</v>
      </c>
    </row>
    <row r="35" spans="2:6" x14ac:dyDescent="0.25">
      <c r="B35" s="205" t="s">
        <v>83</v>
      </c>
      <c r="C35" s="207">
        <f>F10</f>
        <v>0</v>
      </c>
      <c r="D35" s="207">
        <f>G10</f>
        <v>0</v>
      </c>
      <c r="E35" s="207">
        <f>H10</f>
        <v>0</v>
      </c>
      <c r="F35" s="216">
        <f>IFERROR(E35/$E$39,0)</f>
        <v>0</v>
      </c>
    </row>
    <row r="36" spans="2:6" x14ac:dyDescent="0.25">
      <c r="B36" s="205" t="s">
        <v>98</v>
      </c>
      <c r="C36" s="207">
        <f>F22</f>
        <v>0</v>
      </c>
      <c r="D36" s="207">
        <f>G22</f>
        <v>0</v>
      </c>
      <c r="E36" s="207">
        <f>H22</f>
        <v>0</v>
      </c>
      <c r="F36" s="216">
        <f>IFERROR(E36/$E$39,0)</f>
        <v>0</v>
      </c>
    </row>
    <row r="37" spans="2:6" x14ac:dyDescent="0.25">
      <c r="B37" s="205" t="s">
        <v>84</v>
      </c>
      <c r="C37" s="207">
        <f>N10</f>
        <v>0</v>
      </c>
      <c r="D37" s="207">
        <f>O10</f>
        <v>0</v>
      </c>
      <c r="E37" s="207">
        <f>P10</f>
        <v>0</v>
      </c>
      <c r="F37" s="216">
        <f>IFERROR(E37/$E$39,0)</f>
        <v>0</v>
      </c>
    </row>
    <row r="38" spans="2:6" ht="15.75" thickBot="1" x14ac:dyDescent="0.3">
      <c r="B38" s="205" t="s">
        <v>85</v>
      </c>
      <c r="C38" s="207">
        <f>N22</f>
        <v>0</v>
      </c>
      <c r="D38" s="207">
        <f>O22</f>
        <v>0</v>
      </c>
      <c r="E38" s="207">
        <f>P22</f>
        <v>0</v>
      </c>
      <c r="F38" s="216">
        <f>IFERROR(E38/$E$39,0)</f>
        <v>0</v>
      </c>
    </row>
    <row r="39" spans="2:6" ht="15.75" thickBot="1" x14ac:dyDescent="0.3">
      <c r="B39" s="213" t="s">
        <v>10</v>
      </c>
      <c r="C39" s="217">
        <f>SUM(C35:C38)</f>
        <v>0</v>
      </c>
      <c r="D39" s="217">
        <f>SUM(D35:D38)</f>
        <v>0</v>
      </c>
      <c r="E39" s="217">
        <f>SUM(E35:E38)</f>
        <v>0</v>
      </c>
      <c r="F39" s="218">
        <f>SUM(F35:F38)</f>
        <v>0</v>
      </c>
    </row>
  </sheetData>
  <sheetProtection sheet="1" objects="1" scenarios="1"/>
  <mergeCells count="6">
    <mergeCell ref="B24:H24"/>
    <mergeCell ref="B33:F33"/>
    <mergeCell ref="B2:H2"/>
    <mergeCell ref="J2:P2"/>
    <mergeCell ref="B12:H12"/>
    <mergeCell ref="J12:P12"/>
  </mergeCells>
  <pageMargins left="0.511811024" right="0.511811024" top="0.78740157499999996" bottom="0.78740157499999996" header="0.31496062000000002" footer="0.31496062000000002"/>
  <ignoredErrors>
    <ignoredError sqref="C4:H9 J4:P12 C14:H21 J14:P2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0429-019A-4AA1-A620-E26047DB7B30}">
  <sheetPr>
    <tabColor theme="9" tint="0.59999389629810485"/>
  </sheetPr>
  <dimension ref="B1:Y46"/>
  <sheetViews>
    <sheetView showGridLines="0" topLeftCell="C12" zoomScaleNormal="100" workbookViewId="0">
      <selection activeCell="O24" sqref="O24"/>
    </sheetView>
  </sheetViews>
  <sheetFormatPr defaultRowHeight="15" x14ac:dyDescent="0.25"/>
  <cols>
    <col min="1" max="1" width="2.140625" customWidth="1"/>
    <col min="2" max="2" width="12.42578125" bestFit="1" customWidth="1"/>
    <col min="3" max="3" width="11.7109375" bestFit="1" customWidth="1"/>
    <col min="4" max="4" width="9.7109375" bestFit="1" customWidth="1"/>
    <col min="5" max="5" width="18.42578125" style="1" bestFit="1" customWidth="1"/>
    <col min="6" max="6" width="17.28515625" bestFit="1" customWidth="1"/>
    <col min="7" max="7" width="2.140625" customWidth="1"/>
    <col min="8" max="8" width="12.42578125" bestFit="1" customWidth="1"/>
    <col min="9" max="9" width="12.140625" bestFit="1" customWidth="1"/>
    <col min="10" max="10" width="11.28515625" bestFit="1" customWidth="1"/>
    <col min="11" max="11" width="18.42578125" style="1" bestFit="1" customWidth="1"/>
    <col min="12" max="12" width="17.28515625" bestFit="1" customWidth="1"/>
    <col min="13" max="13" width="1" customWidth="1"/>
    <col min="14" max="14" width="0.7109375" customWidth="1"/>
    <col min="15" max="15" width="12.42578125" bestFit="1" customWidth="1"/>
    <col min="16" max="16" width="11.7109375" bestFit="1" customWidth="1"/>
    <col min="17" max="17" width="9.7109375" bestFit="1" customWidth="1"/>
    <col min="18" max="18" width="18.42578125" style="1" bestFit="1" customWidth="1"/>
    <col min="19" max="19" width="17.28515625" bestFit="1" customWidth="1"/>
    <col min="20" max="20" width="2.140625" customWidth="1"/>
    <col min="21" max="21" width="12.42578125" bestFit="1" customWidth="1"/>
    <col min="22" max="22" width="12.140625" bestFit="1" customWidth="1"/>
    <col min="23" max="23" width="11.28515625" bestFit="1" customWidth="1"/>
    <col min="24" max="24" width="18.42578125" style="1" bestFit="1" customWidth="1"/>
    <col min="25" max="25" width="17.28515625" bestFit="1" customWidth="1"/>
  </cols>
  <sheetData>
    <row r="1" spans="2:25" ht="21.75" thickBot="1" x14ac:dyDescent="0.4">
      <c r="B1" s="292" t="s">
        <v>83</v>
      </c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4"/>
    </row>
    <row r="2" spans="2:25" ht="15.75" thickBot="1" x14ac:dyDescent="0.3">
      <c r="B2" s="291" t="s">
        <v>90</v>
      </c>
      <c r="C2" s="291"/>
      <c r="D2" s="291"/>
      <c r="E2" s="291"/>
      <c r="F2" s="291"/>
      <c r="H2" s="291" t="s">
        <v>91</v>
      </c>
      <c r="I2" s="291"/>
      <c r="J2" s="291"/>
      <c r="K2" s="291"/>
      <c r="L2" s="291"/>
      <c r="O2" s="291" t="s">
        <v>92</v>
      </c>
      <c r="P2" s="291"/>
      <c r="Q2" s="291"/>
      <c r="R2" s="291"/>
      <c r="S2" s="291"/>
      <c r="U2" s="291" t="s">
        <v>93</v>
      </c>
      <c r="V2" s="291"/>
      <c r="W2" s="291"/>
      <c r="X2" s="291"/>
      <c r="Y2" s="291"/>
    </row>
    <row r="3" spans="2:25" ht="15.75" thickBot="1" x14ac:dyDescent="0.3">
      <c r="B3" s="166" t="s">
        <v>36</v>
      </c>
      <c r="C3" s="121" t="s">
        <v>86</v>
      </c>
      <c r="D3" s="135" t="s">
        <v>87</v>
      </c>
      <c r="E3" s="138" t="s">
        <v>88</v>
      </c>
      <c r="F3" s="135" t="s">
        <v>89</v>
      </c>
      <c r="H3" s="166" t="s">
        <v>36</v>
      </c>
      <c r="I3" s="135" t="s">
        <v>87</v>
      </c>
      <c r="J3" s="121" t="s">
        <v>86</v>
      </c>
      <c r="K3" s="138" t="s">
        <v>88</v>
      </c>
      <c r="L3" s="135" t="s">
        <v>89</v>
      </c>
      <c r="O3" s="166" t="s">
        <v>36</v>
      </c>
      <c r="P3" s="121" t="s">
        <v>86</v>
      </c>
      <c r="Q3" s="135" t="s">
        <v>87</v>
      </c>
      <c r="R3" s="138" t="s">
        <v>88</v>
      </c>
      <c r="S3" s="135" t="s">
        <v>89</v>
      </c>
      <c r="U3" s="166" t="s">
        <v>36</v>
      </c>
      <c r="V3" s="135" t="s">
        <v>87</v>
      </c>
      <c r="W3" s="121" t="s">
        <v>86</v>
      </c>
      <c r="X3" s="138" t="s">
        <v>88</v>
      </c>
      <c r="Y3" s="135" t="s">
        <v>89</v>
      </c>
    </row>
    <row r="4" spans="2:25" x14ac:dyDescent="0.25">
      <c r="B4" s="136" t="s">
        <v>0</v>
      </c>
      <c r="C4" s="125">
        <v>10</v>
      </c>
      <c r="D4" s="125">
        <f>C4*'General information'!$O$2</f>
        <v>0</v>
      </c>
      <c r="E4" s="125">
        <f>IFERROR(D4/Houses!O5,0)</f>
        <v>0</v>
      </c>
      <c r="F4" s="125">
        <f>E4/365</f>
        <v>0</v>
      </c>
      <c r="H4" s="136" t="s">
        <v>0</v>
      </c>
      <c r="I4" s="125">
        <v>1500</v>
      </c>
      <c r="J4" s="125">
        <f>IFERROR(I4/'General information'!$O$2,0)</f>
        <v>0</v>
      </c>
      <c r="K4" s="125">
        <f>IFERROR(I4/Houses!J25,0)</f>
        <v>0</v>
      </c>
      <c r="L4" s="125">
        <f>K4/365</f>
        <v>0</v>
      </c>
      <c r="O4" s="136" t="s">
        <v>0</v>
      </c>
      <c r="P4" s="125">
        <v>10</v>
      </c>
      <c r="Q4" s="125">
        <f>P4*'General information'!$O$2</f>
        <v>0</v>
      </c>
      <c r="R4" s="125">
        <f>IFERROR(Q4/Houses!O15,0)</f>
        <v>0</v>
      </c>
      <c r="S4" s="125">
        <f t="shared" ref="S4:S10" si="0">R4/365</f>
        <v>0</v>
      </c>
      <c r="U4" s="136" t="s">
        <v>0</v>
      </c>
      <c r="V4" s="125">
        <v>1500</v>
      </c>
      <c r="W4" s="125">
        <f>IFERROR(V4/'General information'!$O$2,0)</f>
        <v>0</v>
      </c>
      <c r="X4" s="125">
        <f>IFERROR(V4/Houses!J35,0)</f>
        <v>0</v>
      </c>
      <c r="Y4" s="125">
        <f>X4/365</f>
        <v>0</v>
      </c>
    </row>
    <row r="5" spans="2:25" x14ac:dyDescent="0.25">
      <c r="B5" s="136" t="s">
        <v>1</v>
      </c>
      <c r="C5" s="125">
        <v>30</v>
      </c>
      <c r="D5" s="125">
        <f>C5*'General information'!$O$2</f>
        <v>0</v>
      </c>
      <c r="E5" s="125">
        <f>IFERROR(D5/Houses!O6,0)</f>
        <v>0</v>
      </c>
      <c r="F5" s="125">
        <f>E5/365</f>
        <v>0</v>
      </c>
      <c r="H5" s="136" t="s">
        <v>1</v>
      </c>
      <c r="I5" s="125">
        <v>3000</v>
      </c>
      <c r="J5" s="125">
        <f>IFERROR(I5/'General information'!$O$2,0)</f>
        <v>0</v>
      </c>
      <c r="K5" s="125">
        <f>IFERROR(I5/Houses!J26,0)</f>
        <v>0</v>
      </c>
      <c r="L5" s="125">
        <f>K5/365</f>
        <v>0</v>
      </c>
      <c r="O5" s="136" t="s">
        <v>1</v>
      </c>
      <c r="P5" s="125">
        <v>30</v>
      </c>
      <c r="Q5" s="125">
        <f>P5*'General information'!$O$2</f>
        <v>0</v>
      </c>
      <c r="R5" s="125">
        <f>IFERROR(Q5/Houses!O16,0)</f>
        <v>0</v>
      </c>
      <c r="S5" s="125">
        <f t="shared" si="0"/>
        <v>0</v>
      </c>
      <c r="U5" s="136" t="s">
        <v>1</v>
      </c>
      <c r="V5" s="125">
        <v>3000</v>
      </c>
      <c r="W5" s="125">
        <f>IFERROR(V5/'General information'!$O$2,0)</f>
        <v>0</v>
      </c>
      <c r="X5" s="125">
        <f>IFERROR(V5/Houses!J36,0)</f>
        <v>0</v>
      </c>
      <c r="Y5" s="125">
        <f>X5/365</f>
        <v>0</v>
      </c>
    </row>
    <row r="6" spans="2:25" x14ac:dyDescent="0.25">
      <c r="B6" s="136" t="s">
        <v>2</v>
      </c>
      <c r="C6" s="125">
        <v>80</v>
      </c>
      <c r="D6" s="125">
        <f>C6*'General information'!$O$2</f>
        <v>0</v>
      </c>
      <c r="E6" s="125">
        <f>IFERROR(D6/Houses!O7,0)</f>
        <v>0</v>
      </c>
      <c r="F6" s="125">
        <f>E6/365</f>
        <v>0</v>
      </c>
      <c r="H6" s="136" t="s">
        <v>2</v>
      </c>
      <c r="I6" s="125">
        <f>J6*'General information'!$O$2</f>
        <v>0</v>
      </c>
      <c r="J6" s="125">
        <v>10</v>
      </c>
      <c r="K6" s="125">
        <f>IFERROR(I6/Houses!J27,0)</f>
        <v>0</v>
      </c>
      <c r="L6" s="125">
        <f>K6/365</f>
        <v>0</v>
      </c>
      <c r="O6" s="136" t="s">
        <v>2</v>
      </c>
      <c r="P6" s="125">
        <v>80</v>
      </c>
      <c r="Q6" s="125">
        <f>P6*'General information'!$O$2</f>
        <v>0</v>
      </c>
      <c r="R6" s="125">
        <f>IFERROR(Q6/Houses!O17,0)</f>
        <v>0</v>
      </c>
      <c r="S6" s="125">
        <f t="shared" si="0"/>
        <v>0</v>
      </c>
      <c r="U6" s="136" t="s">
        <v>2</v>
      </c>
      <c r="V6" s="125">
        <f>W6*'General information'!$O$2</f>
        <v>0</v>
      </c>
      <c r="W6" s="125">
        <v>10</v>
      </c>
      <c r="X6" s="125">
        <f>IFERROR(V6/Houses!J37,0)</f>
        <v>0</v>
      </c>
      <c r="Y6" s="125">
        <f>X6/365</f>
        <v>0</v>
      </c>
    </row>
    <row r="7" spans="2:25" x14ac:dyDescent="0.25">
      <c r="B7" s="136" t="s">
        <v>3</v>
      </c>
      <c r="C7" s="125">
        <v>180</v>
      </c>
      <c r="D7" s="125">
        <f>C7*'General information'!$O$2</f>
        <v>0</v>
      </c>
      <c r="E7" s="125">
        <f>IFERROR(D7/Houses!O8,0)</f>
        <v>0</v>
      </c>
      <c r="F7" s="125">
        <f>E7/365</f>
        <v>0</v>
      </c>
      <c r="H7" s="136" t="s">
        <v>3</v>
      </c>
      <c r="I7" s="125">
        <v>8500</v>
      </c>
      <c r="J7" s="125">
        <f>IFERROR(I7/'General information'!$O$2,0)</f>
        <v>0</v>
      </c>
      <c r="K7" s="125">
        <f>IFERROR(I7/Houses!J28,0)</f>
        <v>0</v>
      </c>
      <c r="L7" s="125">
        <f>K7/365</f>
        <v>0</v>
      </c>
      <c r="O7" s="136" t="s">
        <v>3</v>
      </c>
      <c r="P7" s="125">
        <v>180</v>
      </c>
      <c r="Q7" s="125">
        <f>P7*'General information'!$O$2</f>
        <v>0</v>
      </c>
      <c r="R7" s="125">
        <f>IFERROR(Q7/Houses!O18,0)</f>
        <v>0</v>
      </c>
      <c r="S7" s="125">
        <f t="shared" si="0"/>
        <v>0</v>
      </c>
      <c r="U7" s="136" t="s">
        <v>3</v>
      </c>
      <c r="V7" s="125">
        <v>8500</v>
      </c>
      <c r="W7" s="125">
        <f>IFERROR(V7/'General information'!$O$2,0)</f>
        <v>0</v>
      </c>
      <c r="X7" s="125">
        <f>IFERROR(V7/Houses!J38,0)</f>
        <v>0</v>
      </c>
      <c r="Y7" s="125">
        <f>X7/365</f>
        <v>0</v>
      </c>
    </row>
    <row r="8" spans="2:25" x14ac:dyDescent="0.25">
      <c r="B8" s="136" t="s">
        <v>4</v>
      </c>
      <c r="C8" s="125">
        <v>380</v>
      </c>
      <c r="D8" s="125">
        <f>C8*'General information'!$O$2</f>
        <v>0</v>
      </c>
      <c r="E8" s="125">
        <f>IFERROR(D8/Houses!O9,0)</f>
        <v>0</v>
      </c>
      <c r="F8" s="125">
        <f>E8/365</f>
        <v>0</v>
      </c>
      <c r="H8" s="136" t="s">
        <v>4</v>
      </c>
      <c r="I8" s="125">
        <f>J8*'General information'!$O$2</f>
        <v>0</v>
      </c>
      <c r="J8" s="125">
        <v>35</v>
      </c>
      <c r="K8" s="125">
        <f>IFERROR(I8/Houses!J29,0)</f>
        <v>0</v>
      </c>
      <c r="L8" s="125">
        <f>K8/365</f>
        <v>0</v>
      </c>
      <c r="O8" s="136" t="s">
        <v>4</v>
      </c>
      <c r="P8" s="125">
        <v>380</v>
      </c>
      <c r="Q8" s="125">
        <f>P8*'General information'!$O$2</f>
        <v>0</v>
      </c>
      <c r="R8" s="125">
        <f>IFERROR(Q8/Houses!O19,0)</f>
        <v>0</v>
      </c>
      <c r="S8" s="125">
        <f t="shared" si="0"/>
        <v>0</v>
      </c>
      <c r="U8" s="136" t="s">
        <v>4</v>
      </c>
      <c r="V8" s="125">
        <f>W8*'General information'!$O$2</f>
        <v>0</v>
      </c>
      <c r="W8" s="125">
        <v>35</v>
      </c>
      <c r="X8" s="125">
        <f>IFERROR(V8/Houses!J39,0)</f>
        <v>0</v>
      </c>
      <c r="Y8" s="125">
        <f>X8/365</f>
        <v>0</v>
      </c>
    </row>
    <row r="9" spans="2:25" x14ac:dyDescent="0.25">
      <c r="B9" s="136" t="s">
        <v>6</v>
      </c>
      <c r="C9" s="28">
        <v>780</v>
      </c>
      <c r="D9" s="125">
        <f>C9*'General information'!$O$2</f>
        <v>0</v>
      </c>
      <c r="E9" s="125"/>
      <c r="F9" s="125"/>
      <c r="O9" s="136" t="s">
        <v>6</v>
      </c>
      <c r="P9" s="28">
        <v>780</v>
      </c>
      <c r="Q9" s="125">
        <f>P9*'General information'!$O$2</f>
        <v>0</v>
      </c>
      <c r="R9" s="125"/>
      <c r="S9" s="125">
        <f t="shared" si="0"/>
        <v>0</v>
      </c>
    </row>
    <row r="10" spans="2:25" x14ac:dyDescent="0.25">
      <c r="B10" s="136" t="s">
        <v>7</v>
      </c>
      <c r="C10" s="28">
        <v>1230</v>
      </c>
      <c r="D10" s="125">
        <f>C10*'General information'!$O$2</f>
        <v>0</v>
      </c>
      <c r="E10" s="125"/>
      <c r="F10" s="125"/>
      <c r="O10" s="136" t="s">
        <v>7</v>
      </c>
      <c r="P10" s="28">
        <v>1230</v>
      </c>
      <c r="Q10" s="125">
        <f>P10*'General information'!$O$2</f>
        <v>0</v>
      </c>
      <c r="R10" s="125"/>
      <c r="S10" s="125">
        <f t="shared" si="0"/>
        <v>0</v>
      </c>
    </row>
    <row r="12" spans="2:25" ht="15.75" thickBot="1" x14ac:dyDescent="0.3"/>
    <row r="13" spans="2:25" ht="21.75" thickBot="1" x14ac:dyDescent="0.4">
      <c r="B13" s="295" t="s">
        <v>98</v>
      </c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  <c r="Q13" s="296"/>
      <c r="R13" s="296"/>
      <c r="S13" s="296"/>
      <c r="T13" s="296"/>
      <c r="U13" s="296"/>
      <c r="V13" s="296"/>
      <c r="W13" s="296"/>
      <c r="X13" s="296"/>
      <c r="Y13" s="297"/>
    </row>
    <row r="14" spans="2:25" ht="15.75" thickBot="1" x14ac:dyDescent="0.3">
      <c r="B14" s="291" t="s">
        <v>90</v>
      </c>
      <c r="C14" s="291"/>
      <c r="D14" s="291"/>
      <c r="E14" s="291"/>
      <c r="F14" s="291"/>
      <c r="H14" s="291" t="s">
        <v>91</v>
      </c>
      <c r="I14" s="291"/>
      <c r="J14" s="291"/>
      <c r="K14" s="291"/>
      <c r="L14" s="291"/>
      <c r="O14" s="291" t="s">
        <v>92</v>
      </c>
      <c r="P14" s="291"/>
      <c r="Q14" s="291"/>
      <c r="R14" s="291"/>
      <c r="S14" s="291"/>
      <c r="U14" s="291" t="s">
        <v>93</v>
      </c>
      <c r="V14" s="291"/>
      <c r="W14" s="291"/>
      <c r="X14" s="291"/>
      <c r="Y14" s="291"/>
    </row>
    <row r="15" spans="2:25" ht="15.75" thickBot="1" x14ac:dyDescent="0.3">
      <c r="B15" s="166" t="s">
        <v>36</v>
      </c>
      <c r="C15" s="121" t="s">
        <v>86</v>
      </c>
      <c r="D15" s="135" t="s">
        <v>87</v>
      </c>
      <c r="E15" s="138" t="s">
        <v>88</v>
      </c>
      <c r="F15" s="135" t="s">
        <v>89</v>
      </c>
      <c r="H15" s="166" t="s">
        <v>36</v>
      </c>
      <c r="I15" s="135" t="s">
        <v>87</v>
      </c>
      <c r="J15" s="121" t="s">
        <v>86</v>
      </c>
      <c r="K15" s="138" t="s">
        <v>88</v>
      </c>
      <c r="L15" s="135" t="s">
        <v>89</v>
      </c>
      <c r="O15" s="166" t="s">
        <v>36</v>
      </c>
      <c r="P15" s="121" t="s">
        <v>86</v>
      </c>
      <c r="Q15" s="135" t="s">
        <v>87</v>
      </c>
      <c r="R15" s="138" t="s">
        <v>88</v>
      </c>
      <c r="S15" s="135" t="s">
        <v>89</v>
      </c>
      <c r="U15" s="166" t="s">
        <v>36</v>
      </c>
      <c r="V15" s="135" t="s">
        <v>87</v>
      </c>
      <c r="W15" s="121" t="s">
        <v>86</v>
      </c>
      <c r="X15" s="138" t="s">
        <v>88</v>
      </c>
      <c r="Y15" s="135" t="s">
        <v>89</v>
      </c>
    </row>
    <row r="16" spans="2:25" x14ac:dyDescent="0.25">
      <c r="B16" s="136" t="s">
        <v>0</v>
      </c>
      <c r="C16" s="125">
        <v>10</v>
      </c>
      <c r="D16" s="125">
        <f>C16*'General information'!$O$2</f>
        <v>0</v>
      </c>
      <c r="E16" s="125">
        <f>IFERROR(D16/(Weapons!N5/Weapons!C5),0)</f>
        <v>0</v>
      </c>
      <c r="F16" s="125">
        <f t="shared" ref="F16:F22" si="1">E16/365</f>
        <v>0</v>
      </c>
      <c r="H16" s="136" t="s">
        <v>0</v>
      </c>
      <c r="I16" s="125">
        <v>1500</v>
      </c>
      <c r="J16" s="125">
        <f>IFERROR(I16/'General information'!$O$2,0)</f>
        <v>0</v>
      </c>
      <c r="K16" s="125">
        <f>IFERROR(I16/(Weapons!L29/Weapons!C29),0)</f>
        <v>0</v>
      </c>
      <c r="L16" s="125">
        <f>K16/365</f>
        <v>0</v>
      </c>
      <c r="O16" s="136" t="s">
        <v>0</v>
      </c>
      <c r="P16" s="125">
        <v>10</v>
      </c>
      <c r="Q16" s="125">
        <f>P16*'General information'!$O$2</f>
        <v>0</v>
      </c>
      <c r="R16" s="125">
        <f>IFERROR(Q16/(Weapons!N17/Weapons!E17),0)</f>
        <v>0</v>
      </c>
      <c r="S16" s="137">
        <f t="shared" ref="S16:S22" si="2">R16/365</f>
        <v>0</v>
      </c>
      <c r="U16" s="136" t="s">
        <v>0</v>
      </c>
      <c r="V16" s="125">
        <v>1500</v>
      </c>
      <c r="W16" s="125">
        <f>IFERROR(V16/'General information'!$O$2,0)</f>
        <v>0</v>
      </c>
      <c r="X16" s="125">
        <f>IFERROR(V16/(Weapons!L39/Weapons!C39),0)</f>
        <v>0</v>
      </c>
      <c r="Y16" s="125">
        <f>X16/365</f>
        <v>0</v>
      </c>
    </row>
    <row r="17" spans="2:25" x14ac:dyDescent="0.25">
      <c r="B17" s="136" t="s">
        <v>1</v>
      </c>
      <c r="C17" s="125">
        <v>30</v>
      </c>
      <c r="D17" s="125">
        <f>C17*'General information'!$O$2</f>
        <v>0</v>
      </c>
      <c r="E17" s="125">
        <f>IFERROR(D17/(Weapons!N6/Weapons!C6),0)</f>
        <v>0</v>
      </c>
      <c r="F17" s="125">
        <f t="shared" si="1"/>
        <v>0</v>
      </c>
      <c r="H17" s="136" t="s">
        <v>1</v>
      </c>
      <c r="I17" s="125">
        <v>3000</v>
      </c>
      <c r="J17" s="125">
        <f>IFERROR(I17/'General information'!$O$2,0)</f>
        <v>0</v>
      </c>
      <c r="K17" s="125">
        <f>IFERROR(I17/(Weapons!L30/Weapons!C30),0)</f>
        <v>0</v>
      </c>
      <c r="L17" s="125">
        <f>K17/365</f>
        <v>0</v>
      </c>
      <c r="O17" s="136" t="s">
        <v>1</v>
      </c>
      <c r="P17" s="125">
        <v>30</v>
      </c>
      <c r="Q17" s="125">
        <f>P17*'General information'!$O$2</f>
        <v>0</v>
      </c>
      <c r="R17" s="125">
        <f>IFERROR(Q17/(Weapons!N18/Weapons!E18),0)</f>
        <v>0</v>
      </c>
      <c r="S17" s="125">
        <f t="shared" si="2"/>
        <v>0</v>
      </c>
      <c r="U17" s="136" t="s">
        <v>1</v>
      </c>
      <c r="V17" s="125">
        <v>3000</v>
      </c>
      <c r="W17" s="125">
        <f>IFERROR(V17/'General information'!$O$2,0)</f>
        <v>0</v>
      </c>
      <c r="X17" s="125">
        <f>IFERROR(V17/(Weapons!L40/Weapons!C40),0)</f>
        <v>0</v>
      </c>
      <c r="Y17" s="125">
        <f>X17/365</f>
        <v>0</v>
      </c>
    </row>
    <row r="18" spans="2:25" x14ac:dyDescent="0.25">
      <c r="B18" s="136" t="s">
        <v>2</v>
      </c>
      <c r="C18" s="125">
        <v>80</v>
      </c>
      <c r="D18" s="125">
        <f>C18*'General information'!$O$2</f>
        <v>0</v>
      </c>
      <c r="E18" s="125">
        <f>IFERROR(D18/(Weapons!N7/Weapons!C7),0)</f>
        <v>0</v>
      </c>
      <c r="F18" s="125">
        <f t="shared" si="1"/>
        <v>0</v>
      </c>
      <c r="H18" s="136" t="s">
        <v>2</v>
      </c>
      <c r="I18" s="125">
        <f>J18*'General information'!O2</f>
        <v>0</v>
      </c>
      <c r="J18" s="125">
        <v>10</v>
      </c>
      <c r="K18" s="125">
        <f>IFERROR(I18/(Weapons!L31/Weapons!C31),0)</f>
        <v>0</v>
      </c>
      <c r="L18" s="125">
        <f>K18/365</f>
        <v>0</v>
      </c>
      <c r="O18" s="136" t="s">
        <v>2</v>
      </c>
      <c r="P18" s="125">
        <v>80</v>
      </c>
      <c r="Q18" s="125">
        <f>P18*'General information'!$O$2</f>
        <v>0</v>
      </c>
      <c r="R18" s="125">
        <f>IFERROR(Q18/(Weapons!N19/Weapons!E19),0)</f>
        <v>0</v>
      </c>
      <c r="S18" s="125">
        <f t="shared" si="2"/>
        <v>0</v>
      </c>
      <c r="U18" s="136" t="s">
        <v>2</v>
      </c>
      <c r="V18" s="125">
        <f>W18*'General information'!$O$2</f>
        <v>0</v>
      </c>
      <c r="W18" s="125">
        <v>10</v>
      </c>
      <c r="X18" s="125">
        <f>IFERROR(V18/(Weapons!L41/Weapons!C41),0)</f>
        <v>0</v>
      </c>
      <c r="Y18" s="125">
        <f>X18/365</f>
        <v>0</v>
      </c>
    </row>
    <row r="19" spans="2:25" x14ac:dyDescent="0.25">
      <c r="B19" s="136" t="s">
        <v>3</v>
      </c>
      <c r="C19" s="125">
        <v>180</v>
      </c>
      <c r="D19" s="125">
        <f>C19*'General information'!$O$2</f>
        <v>0</v>
      </c>
      <c r="E19" s="125">
        <f>IFERROR(D19/(Weapons!N8/Weapons!C8),0)</f>
        <v>0</v>
      </c>
      <c r="F19" s="125">
        <f t="shared" si="1"/>
        <v>0</v>
      </c>
      <c r="H19" s="136" t="s">
        <v>3</v>
      </c>
      <c r="I19" s="125">
        <v>8500</v>
      </c>
      <c r="J19" s="125">
        <f>IFERROR(I19/'General information'!$O$2,0)</f>
        <v>0</v>
      </c>
      <c r="K19" s="125">
        <f>IFERROR(I19/(Weapons!L32/Weapons!C32),0)</f>
        <v>0</v>
      </c>
      <c r="L19" s="125">
        <f>K19/365</f>
        <v>0</v>
      </c>
      <c r="O19" s="136" t="s">
        <v>3</v>
      </c>
      <c r="P19" s="125">
        <v>180</v>
      </c>
      <c r="Q19" s="125">
        <f>P19*'General information'!$O$2</f>
        <v>0</v>
      </c>
      <c r="R19" s="125">
        <f>IFERROR(Q19/(Weapons!N20/Weapons!E20),0)</f>
        <v>0</v>
      </c>
      <c r="S19" s="125">
        <f t="shared" si="2"/>
        <v>0</v>
      </c>
      <c r="U19" s="136" t="s">
        <v>3</v>
      </c>
      <c r="V19" s="125">
        <v>8500</v>
      </c>
      <c r="W19" s="125">
        <f>IFERROR(V19/'General information'!$O$2,0)</f>
        <v>0</v>
      </c>
      <c r="X19" s="125">
        <f>IFERROR(V19/(Weapons!L42/Weapons!C42),0)</f>
        <v>0</v>
      </c>
      <c r="Y19" s="125">
        <f>X19/365</f>
        <v>0</v>
      </c>
    </row>
    <row r="20" spans="2:25" x14ac:dyDescent="0.25">
      <c r="B20" s="136" t="s">
        <v>4</v>
      </c>
      <c r="C20" s="125">
        <v>380</v>
      </c>
      <c r="D20" s="125">
        <f>C20*'General information'!$O$2</f>
        <v>0</v>
      </c>
      <c r="E20" s="125">
        <f>IFERROR(D20/(Weapons!N9/Weapons!C9),0)</f>
        <v>0</v>
      </c>
      <c r="F20" s="125">
        <f t="shared" si="1"/>
        <v>0</v>
      </c>
      <c r="H20" s="136" t="s">
        <v>4</v>
      </c>
      <c r="I20" s="125">
        <f>J20*'General information'!O2</f>
        <v>0</v>
      </c>
      <c r="J20" s="125">
        <v>35</v>
      </c>
      <c r="K20" s="125">
        <f>IFERROR(I20/(Weapons!L33/Weapons!C33),0)</f>
        <v>0</v>
      </c>
      <c r="L20" s="125">
        <f>K20/365</f>
        <v>0</v>
      </c>
      <c r="O20" s="136" t="s">
        <v>4</v>
      </c>
      <c r="P20" s="125">
        <v>380</v>
      </c>
      <c r="Q20" s="125">
        <f>P20*'General information'!$O$2</f>
        <v>0</v>
      </c>
      <c r="R20" s="125">
        <f>IFERROR(Q20/(Weapons!N21/Weapons!E21),0)</f>
        <v>0</v>
      </c>
      <c r="S20" s="125">
        <f t="shared" si="2"/>
        <v>0</v>
      </c>
      <c r="U20" s="136" t="s">
        <v>4</v>
      </c>
      <c r="V20" s="125">
        <f>W20*'General information'!$O$2</f>
        <v>0</v>
      </c>
      <c r="W20" s="125">
        <v>35</v>
      </c>
      <c r="X20" s="125">
        <f>IFERROR(V20/(Weapons!L43/Weapons!C43),0)</f>
        <v>0</v>
      </c>
      <c r="Y20" s="125">
        <f>X20/365</f>
        <v>0</v>
      </c>
    </row>
    <row r="21" spans="2:25" x14ac:dyDescent="0.25">
      <c r="B21" s="136" t="s">
        <v>6</v>
      </c>
      <c r="C21" s="28">
        <v>780</v>
      </c>
      <c r="D21" s="125">
        <f>C21*'General information'!$O$2</f>
        <v>0</v>
      </c>
      <c r="E21" s="125">
        <f>IFERROR(D21/(Weapons!N10/Weapons!C10),0)</f>
        <v>0</v>
      </c>
      <c r="F21" s="125">
        <f t="shared" si="1"/>
        <v>0</v>
      </c>
      <c r="O21" s="136" t="s">
        <v>6</v>
      </c>
      <c r="P21" s="28">
        <v>780</v>
      </c>
      <c r="Q21" s="125">
        <f>P21*'General information'!$O$2</f>
        <v>0</v>
      </c>
      <c r="R21" s="125">
        <f>IFERROR(Q21/(Weapons!N22/Weapons!E22),0)</f>
        <v>0</v>
      </c>
      <c r="S21" s="125">
        <f t="shared" si="2"/>
        <v>0</v>
      </c>
    </row>
    <row r="22" spans="2:25" x14ac:dyDescent="0.25">
      <c r="B22" s="136" t="s">
        <v>7</v>
      </c>
      <c r="C22" s="28">
        <v>1230</v>
      </c>
      <c r="D22" s="125">
        <f>C22*'General information'!$O$2</f>
        <v>0</v>
      </c>
      <c r="E22" s="125">
        <f>IFERROR(D22/(Weapons!N11/Weapons!C11),0)</f>
        <v>0</v>
      </c>
      <c r="F22" s="125">
        <f t="shared" si="1"/>
        <v>0</v>
      </c>
      <c r="O22" s="136" t="s">
        <v>7</v>
      </c>
      <c r="P22" s="28">
        <v>1230</v>
      </c>
      <c r="Q22" s="125">
        <f>P22*'General information'!$O$2</f>
        <v>0</v>
      </c>
      <c r="R22" s="125">
        <f>IFERROR(Q22/(Weapons!N23/Weapons!E23),0)</f>
        <v>0</v>
      </c>
      <c r="S22" s="125">
        <f t="shared" si="2"/>
        <v>0</v>
      </c>
    </row>
    <row r="24" spans="2:25" ht="15.75" thickBot="1" x14ac:dyDescent="0.3"/>
    <row r="25" spans="2:25" ht="21.75" thickBot="1" x14ac:dyDescent="0.4">
      <c r="B25" s="298" t="s">
        <v>85</v>
      </c>
      <c r="C25" s="299"/>
      <c r="D25" s="299"/>
      <c r="E25" s="299"/>
      <c r="F25" s="299"/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299"/>
      <c r="R25" s="299"/>
      <c r="S25" s="299"/>
      <c r="T25" s="299"/>
      <c r="U25" s="299"/>
      <c r="V25" s="299"/>
      <c r="W25" s="299"/>
      <c r="X25" s="299"/>
      <c r="Y25" s="300"/>
    </row>
    <row r="26" spans="2:25" ht="15.75" thickBot="1" x14ac:dyDescent="0.3">
      <c r="B26" s="291" t="s">
        <v>90</v>
      </c>
      <c r="C26" s="291"/>
      <c r="D26" s="291"/>
      <c r="E26" s="291"/>
      <c r="F26" s="291"/>
      <c r="H26" s="291" t="s">
        <v>91</v>
      </c>
      <c r="I26" s="291"/>
      <c r="J26" s="291"/>
      <c r="K26" s="291"/>
      <c r="L26" s="291"/>
      <c r="O26" s="291" t="s">
        <v>92</v>
      </c>
      <c r="P26" s="291"/>
      <c r="Q26" s="291"/>
      <c r="R26" s="291"/>
      <c r="S26" s="291"/>
      <c r="U26" s="291" t="s">
        <v>93</v>
      </c>
      <c r="V26" s="291"/>
      <c r="W26" s="291"/>
      <c r="X26" s="291"/>
      <c r="Y26" s="291"/>
    </row>
    <row r="27" spans="2:25" ht="15.75" thickBot="1" x14ac:dyDescent="0.3">
      <c r="B27" s="166" t="s">
        <v>36</v>
      </c>
      <c r="C27" s="121" t="s">
        <v>86</v>
      </c>
      <c r="D27" s="135" t="s">
        <v>87</v>
      </c>
      <c r="E27" s="138" t="s">
        <v>88</v>
      </c>
      <c r="F27" s="135" t="s">
        <v>89</v>
      </c>
      <c r="H27" s="166" t="s">
        <v>36</v>
      </c>
      <c r="I27" s="135" t="s">
        <v>87</v>
      </c>
      <c r="J27" s="121" t="s">
        <v>86</v>
      </c>
      <c r="K27" s="138" t="s">
        <v>88</v>
      </c>
      <c r="L27" s="135" t="s">
        <v>89</v>
      </c>
      <c r="O27" s="166" t="s">
        <v>36</v>
      </c>
      <c r="P27" s="121" t="s">
        <v>86</v>
      </c>
      <c r="Q27" s="135" t="s">
        <v>87</v>
      </c>
      <c r="R27" s="138" t="s">
        <v>88</v>
      </c>
      <c r="S27" s="135" t="s">
        <v>89</v>
      </c>
      <c r="U27" s="166" t="s">
        <v>36</v>
      </c>
      <c r="V27" s="135" t="s">
        <v>87</v>
      </c>
      <c r="W27" s="121" t="s">
        <v>86</v>
      </c>
      <c r="X27" s="138" t="s">
        <v>88</v>
      </c>
      <c r="Y27" s="135" t="s">
        <v>89</v>
      </c>
    </row>
    <row r="28" spans="2:25" x14ac:dyDescent="0.25">
      <c r="B28" s="136" t="s">
        <v>0</v>
      </c>
      <c r="C28" s="125">
        <v>10</v>
      </c>
      <c r="D28" s="125">
        <f>C28*'General information'!$O$2</f>
        <v>0</v>
      </c>
      <c r="E28" s="137">
        <f>IFERROR(D28/(Food!N5/Food!C5),0)</f>
        <v>0</v>
      </c>
      <c r="F28" s="137">
        <f t="shared" ref="F28:F34" si="3">E28/365</f>
        <v>0</v>
      </c>
      <c r="H28" s="136" t="s">
        <v>0</v>
      </c>
      <c r="I28" s="125">
        <v>1500</v>
      </c>
      <c r="J28" s="125">
        <f>IFERROR(I28/'General information'!$O$2,0)</f>
        <v>0</v>
      </c>
      <c r="K28" s="125">
        <f>IFERROR(I28/(Food!L29/Food!C29),0)</f>
        <v>0</v>
      </c>
      <c r="L28" s="125">
        <f>K28/365</f>
        <v>0</v>
      </c>
      <c r="O28" s="136" t="s">
        <v>0</v>
      </c>
      <c r="P28" s="125">
        <v>10</v>
      </c>
      <c r="Q28" s="125">
        <f>P28*'General information'!$O$2</f>
        <v>0</v>
      </c>
      <c r="R28" s="137">
        <f>IFERROR(Q28/(Food!N17/Food!C17),0)</f>
        <v>0</v>
      </c>
      <c r="S28" s="137">
        <f t="shared" ref="S28:S34" si="4">R28/365</f>
        <v>0</v>
      </c>
      <c r="U28" s="136" t="s">
        <v>0</v>
      </c>
      <c r="V28" s="125">
        <v>1500</v>
      </c>
      <c r="W28" s="125">
        <f>IFERROR(V28/'General information'!$O$2,0)</f>
        <v>0</v>
      </c>
      <c r="X28" s="125">
        <f>IFERROR(V28/(Food!L39/Food!C39),0)</f>
        <v>0</v>
      </c>
      <c r="Y28" s="125">
        <f>X28/365</f>
        <v>0</v>
      </c>
    </row>
    <row r="29" spans="2:25" x14ac:dyDescent="0.25">
      <c r="B29" s="136" t="s">
        <v>1</v>
      </c>
      <c r="C29" s="125">
        <v>30</v>
      </c>
      <c r="D29" s="125">
        <f>C29*'General information'!$O$2</f>
        <v>0</v>
      </c>
      <c r="E29" s="137">
        <f>IFERROR(D29/(Food!N6/Food!C6),0)</f>
        <v>0</v>
      </c>
      <c r="F29" s="125">
        <f t="shared" si="3"/>
        <v>0</v>
      </c>
      <c r="H29" s="136" t="s">
        <v>1</v>
      </c>
      <c r="I29" s="125">
        <v>3000</v>
      </c>
      <c r="J29" s="125">
        <f>IFERROR(I29/'General information'!$O$2,0)</f>
        <v>0</v>
      </c>
      <c r="K29" s="125">
        <f>IFERROR(I29/(Food!L30/Food!C30),0)</f>
        <v>0</v>
      </c>
      <c r="L29" s="125">
        <f>K29/365</f>
        <v>0</v>
      </c>
      <c r="O29" s="136" t="s">
        <v>1</v>
      </c>
      <c r="P29" s="125">
        <v>30</v>
      </c>
      <c r="Q29" s="125">
        <f>P29*'General information'!$O$2</f>
        <v>0</v>
      </c>
      <c r="R29" s="137">
        <f>IFERROR(Q29/(Food!N18/Food!C18),0)</f>
        <v>0</v>
      </c>
      <c r="S29" s="125">
        <f t="shared" si="4"/>
        <v>0</v>
      </c>
      <c r="U29" s="136" t="s">
        <v>1</v>
      </c>
      <c r="V29" s="125">
        <v>3000</v>
      </c>
      <c r="W29" s="125">
        <f>IFERROR(V29/'General information'!$O$2,0)</f>
        <v>0</v>
      </c>
      <c r="X29" s="125">
        <f>IFERROR(V29/(Food!L40/Food!C40),0)</f>
        <v>0</v>
      </c>
      <c r="Y29" s="125">
        <f>X29/365</f>
        <v>0</v>
      </c>
    </row>
    <row r="30" spans="2:25" x14ac:dyDescent="0.25">
      <c r="B30" s="136" t="s">
        <v>2</v>
      </c>
      <c r="C30" s="125">
        <v>80</v>
      </c>
      <c r="D30" s="125">
        <f>C30*'General information'!$O$2</f>
        <v>0</v>
      </c>
      <c r="E30" s="137">
        <f>IFERROR(D30/(Food!N7/Food!C7),0)</f>
        <v>0</v>
      </c>
      <c r="F30" s="125">
        <f t="shared" si="3"/>
        <v>0</v>
      </c>
      <c r="H30" s="136" t="s">
        <v>2</v>
      </c>
      <c r="I30" s="125">
        <f>J30*'General information'!$O$2</f>
        <v>0</v>
      </c>
      <c r="J30" s="125">
        <v>10</v>
      </c>
      <c r="K30" s="125">
        <f>IFERROR(I30/(Food!L31/Food!C31),0)</f>
        <v>0</v>
      </c>
      <c r="L30" s="125">
        <f>K30/365</f>
        <v>0</v>
      </c>
      <c r="O30" s="136" t="s">
        <v>2</v>
      </c>
      <c r="P30" s="125">
        <v>80</v>
      </c>
      <c r="Q30" s="125">
        <f>P30*'General information'!$O$2</f>
        <v>0</v>
      </c>
      <c r="R30" s="137">
        <f>IFERROR(Q30/(Food!N19/Food!C19),0)</f>
        <v>0</v>
      </c>
      <c r="S30" s="125">
        <f t="shared" si="4"/>
        <v>0</v>
      </c>
      <c r="U30" s="136" t="s">
        <v>2</v>
      </c>
      <c r="V30" s="125">
        <f>W30*'General information'!$O$2</f>
        <v>0</v>
      </c>
      <c r="W30" s="125">
        <v>10</v>
      </c>
      <c r="X30" s="125">
        <f>IFERROR(V30/(Food!L41/Food!C41),0)</f>
        <v>0</v>
      </c>
      <c r="Y30" s="125">
        <f>X30/365</f>
        <v>0</v>
      </c>
    </row>
    <row r="31" spans="2:25" x14ac:dyDescent="0.25">
      <c r="B31" s="136" t="s">
        <v>3</v>
      </c>
      <c r="C31" s="125">
        <v>180</v>
      </c>
      <c r="D31" s="125">
        <f>C31*'General information'!$O$2</f>
        <v>0</v>
      </c>
      <c r="E31" s="137">
        <f>IFERROR(D31/(Food!N8/Food!C8),0)</f>
        <v>0</v>
      </c>
      <c r="F31" s="125">
        <f t="shared" si="3"/>
        <v>0</v>
      </c>
      <c r="H31" s="136" t="s">
        <v>3</v>
      </c>
      <c r="I31" s="125">
        <v>8500</v>
      </c>
      <c r="J31" s="125">
        <f>IFERROR(I31/'General information'!$O$2,0)</f>
        <v>0</v>
      </c>
      <c r="K31" s="125">
        <f>IFERROR(I31/(Food!L32/Food!C32),0)</f>
        <v>0</v>
      </c>
      <c r="L31" s="125">
        <f>K31/365</f>
        <v>0</v>
      </c>
      <c r="O31" s="136" t="s">
        <v>3</v>
      </c>
      <c r="P31" s="125">
        <v>180</v>
      </c>
      <c r="Q31" s="125">
        <f>P31*'General information'!$O$2</f>
        <v>0</v>
      </c>
      <c r="R31" s="137">
        <f>IFERROR(Q31/(Food!N20/Food!C20),0)</f>
        <v>0</v>
      </c>
      <c r="S31" s="125">
        <f t="shared" si="4"/>
        <v>0</v>
      </c>
      <c r="U31" s="136" t="s">
        <v>3</v>
      </c>
      <c r="V31" s="125">
        <v>8500</v>
      </c>
      <c r="W31" s="125">
        <f>IFERROR(V31/'General information'!$O$2,0)</f>
        <v>0</v>
      </c>
      <c r="X31" s="125">
        <f>IFERROR(V31/(Food!L42/Food!C42),0)</f>
        <v>0</v>
      </c>
      <c r="Y31" s="125">
        <f>X31/365</f>
        <v>0</v>
      </c>
    </row>
    <row r="32" spans="2:25" x14ac:dyDescent="0.25">
      <c r="B32" s="136" t="s">
        <v>4</v>
      </c>
      <c r="C32" s="125">
        <v>380</v>
      </c>
      <c r="D32" s="125">
        <f>C32*'General information'!$O$2</f>
        <v>0</v>
      </c>
      <c r="E32" s="137">
        <f>IFERROR(D32/(Food!N9/Food!C9),0)</f>
        <v>0</v>
      </c>
      <c r="F32" s="125">
        <f t="shared" si="3"/>
        <v>0</v>
      </c>
      <c r="H32" s="136" t="s">
        <v>4</v>
      </c>
      <c r="I32" s="125">
        <f>J32*'General information'!$O$2</f>
        <v>0</v>
      </c>
      <c r="J32" s="125">
        <v>35</v>
      </c>
      <c r="K32" s="125">
        <f>IFERROR(I32/(Food!L33/Food!C33),0)</f>
        <v>0</v>
      </c>
      <c r="L32" s="125">
        <f>K32/365</f>
        <v>0</v>
      </c>
      <c r="O32" s="136" t="s">
        <v>4</v>
      </c>
      <c r="P32" s="125">
        <v>380</v>
      </c>
      <c r="Q32" s="125">
        <f>P32*'General information'!$O$2</f>
        <v>0</v>
      </c>
      <c r="R32" s="137">
        <f>IFERROR(Q32/(Food!N21/Food!C21),0)</f>
        <v>0</v>
      </c>
      <c r="S32" s="125">
        <f t="shared" si="4"/>
        <v>0</v>
      </c>
      <c r="U32" s="136" t="s">
        <v>4</v>
      </c>
      <c r="V32" s="125">
        <f>W32*'General information'!$O$2</f>
        <v>0</v>
      </c>
      <c r="W32" s="125">
        <v>35</v>
      </c>
      <c r="X32" s="125">
        <f>IFERROR(V32/(Food!L43/Food!C43),0)</f>
        <v>0</v>
      </c>
      <c r="Y32" s="125">
        <f>X32/365</f>
        <v>0</v>
      </c>
    </row>
    <row r="33" spans="2:25" x14ac:dyDescent="0.25">
      <c r="B33" s="136" t="s">
        <v>6</v>
      </c>
      <c r="C33" s="28">
        <v>780</v>
      </c>
      <c r="D33" s="125">
        <f>C33*'General information'!$O$2</f>
        <v>0</v>
      </c>
      <c r="E33" s="137">
        <f>IFERROR(D33/(Food!N10/Food!C10),0)</f>
        <v>0</v>
      </c>
      <c r="F33" s="125">
        <f t="shared" si="3"/>
        <v>0</v>
      </c>
      <c r="O33" s="136" t="s">
        <v>6</v>
      </c>
      <c r="P33" s="28">
        <v>780</v>
      </c>
      <c r="Q33" s="125">
        <f>P33*'General information'!$O$2</f>
        <v>0</v>
      </c>
      <c r="R33" s="137">
        <f>IFERROR(Q33/(Food!N22/Food!C22),0)</f>
        <v>0</v>
      </c>
      <c r="S33" s="125">
        <f t="shared" si="4"/>
        <v>0</v>
      </c>
    </row>
    <row r="34" spans="2:25" x14ac:dyDescent="0.25">
      <c r="B34" s="136" t="s">
        <v>7</v>
      </c>
      <c r="C34" s="28">
        <v>1230</v>
      </c>
      <c r="D34" s="125">
        <f>C34*'General information'!$O$2</f>
        <v>0</v>
      </c>
      <c r="E34" s="137">
        <f>IFERROR(D34/(Food!N11/Food!C11),0)</f>
        <v>0</v>
      </c>
      <c r="F34" s="125">
        <f t="shared" si="3"/>
        <v>0</v>
      </c>
      <c r="O34" s="136" t="s">
        <v>7</v>
      </c>
      <c r="P34" s="28">
        <v>1230</v>
      </c>
      <c r="Q34" s="125">
        <f>P34*'General information'!$O$2</f>
        <v>0</v>
      </c>
      <c r="R34" s="137">
        <f>IFERROR(Q34/(Food!N23/Food!C23),0)</f>
        <v>0</v>
      </c>
      <c r="S34" s="125">
        <f t="shared" si="4"/>
        <v>0</v>
      </c>
    </row>
    <row r="36" spans="2:25" ht="15.75" thickBot="1" x14ac:dyDescent="0.3"/>
    <row r="37" spans="2:25" ht="21.75" thickBot="1" x14ac:dyDescent="0.4">
      <c r="B37" s="301" t="s">
        <v>84</v>
      </c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302"/>
      <c r="Q37" s="302"/>
      <c r="R37" s="302"/>
      <c r="S37" s="302"/>
      <c r="T37" s="302"/>
      <c r="U37" s="302"/>
      <c r="V37" s="302"/>
      <c r="W37" s="302"/>
      <c r="X37" s="302"/>
      <c r="Y37" s="303"/>
    </row>
    <row r="38" spans="2:25" ht="15.75" thickBot="1" x14ac:dyDescent="0.3">
      <c r="B38" s="291" t="s">
        <v>90</v>
      </c>
      <c r="C38" s="291"/>
      <c r="D38" s="291"/>
      <c r="E38" s="291"/>
      <c r="F38" s="291"/>
      <c r="H38" s="291" t="s">
        <v>91</v>
      </c>
      <c r="I38" s="291"/>
      <c r="J38" s="291"/>
      <c r="K38" s="291"/>
      <c r="L38" s="291"/>
      <c r="O38" s="291" t="s">
        <v>92</v>
      </c>
      <c r="P38" s="291"/>
      <c r="Q38" s="291"/>
      <c r="R38" s="291"/>
      <c r="S38" s="291"/>
      <c r="U38" s="291" t="s">
        <v>93</v>
      </c>
      <c r="V38" s="291"/>
      <c r="W38" s="291"/>
      <c r="X38" s="291"/>
      <c r="Y38" s="291"/>
    </row>
    <row r="39" spans="2:25" ht="15.75" thickBot="1" x14ac:dyDescent="0.3">
      <c r="B39" s="166" t="s">
        <v>36</v>
      </c>
      <c r="C39" s="121" t="s">
        <v>86</v>
      </c>
      <c r="D39" s="135" t="s">
        <v>87</v>
      </c>
      <c r="E39" s="138" t="s">
        <v>88</v>
      </c>
      <c r="F39" s="135" t="s">
        <v>89</v>
      </c>
      <c r="H39" s="166" t="s">
        <v>36</v>
      </c>
      <c r="I39" s="135" t="s">
        <v>87</v>
      </c>
      <c r="J39" s="121" t="s">
        <v>86</v>
      </c>
      <c r="K39" s="138" t="s">
        <v>88</v>
      </c>
      <c r="L39" s="135" t="s">
        <v>89</v>
      </c>
      <c r="O39" s="166" t="s">
        <v>36</v>
      </c>
      <c r="P39" s="121" t="s">
        <v>86</v>
      </c>
      <c r="Q39" s="135" t="s">
        <v>87</v>
      </c>
      <c r="R39" s="138" t="s">
        <v>88</v>
      </c>
      <c r="S39" s="135" t="s">
        <v>89</v>
      </c>
      <c r="U39" s="166" t="s">
        <v>36</v>
      </c>
      <c r="V39" s="135" t="s">
        <v>87</v>
      </c>
      <c r="W39" s="121" t="s">
        <v>86</v>
      </c>
      <c r="X39" s="138" t="s">
        <v>88</v>
      </c>
      <c r="Y39" s="135" t="s">
        <v>89</v>
      </c>
    </row>
    <row r="40" spans="2:25" x14ac:dyDescent="0.25">
      <c r="B40" s="136" t="s">
        <v>0</v>
      </c>
      <c r="C40" s="125">
        <v>10</v>
      </c>
      <c r="D40" s="125">
        <f>C40*'General information'!$O$2</f>
        <v>0</v>
      </c>
      <c r="E40" s="137">
        <f>IFERROR(D40/Airplanes!L5,0)</f>
        <v>0</v>
      </c>
      <c r="F40" s="137">
        <f t="shared" ref="F40:F46" si="5">E40/365</f>
        <v>0</v>
      </c>
      <c r="H40" s="136" t="s">
        <v>0</v>
      </c>
      <c r="I40" s="125">
        <v>1500</v>
      </c>
      <c r="J40" s="125">
        <f>IFERROR(I40/'General information'!$O$2,0)</f>
        <v>0</v>
      </c>
      <c r="K40" s="125">
        <f>IFERROR(I40/Airplanes!I25,0)</f>
        <v>0</v>
      </c>
      <c r="L40" s="125">
        <f>K40/365</f>
        <v>0</v>
      </c>
      <c r="O40" s="136" t="s">
        <v>0</v>
      </c>
      <c r="P40" s="125">
        <v>10</v>
      </c>
      <c r="Q40" s="125">
        <f>P40*'General information'!$O$2</f>
        <v>0</v>
      </c>
      <c r="R40" s="137">
        <f>IFERROR(Q40/Airplanes!L15,0)</f>
        <v>0</v>
      </c>
      <c r="S40" s="137">
        <f t="shared" ref="S40:S46" si="6">R40/365</f>
        <v>0</v>
      </c>
      <c r="U40" s="136" t="s">
        <v>0</v>
      </c>
      <c r="V40" s="125">
        <v>1500</v>
      </c>
      <c r="W40" s="125">
        <f>IFERROR(V40/'General information'!$O$2,0)</f>
        <v>0</v>
      </c>
      <c r="X40" s="125">
        <f>IFERROR(V40/Airplanes!I35,0)</f>
        <v>0</v>
      </c>
      <c r="Y40" s="125">
        <f>X40/365</f>
        <v>0</v>
      </c>
    </row>
    <row r="41" spans="2:25" x14ac:dyDescent="0.25">
      <c r="B41" s="136" t="s">
        <v>1</v>
      </c>
      <c r="C41" s="125">
        <v>30</v>
      </c>
      <c r="D41" s="125">
        <f>C41*'General information'!$O$2</f>
        <v>0</v>
      </c>
      <c r="E41" s="137">
        <f>IFERROR(D41/Airplanes!L6,0)</f>
        <v>0</v>
      </c>
      <c r="F41" s="125">
        <f t="shared" si="5"/>
        <v>0</v>
      </c>
      <c r="H41" s="136" t="s">
        <v>1</v>
      </c>
      <c r="I41" s="125">
        <v>3000</v>
      </c>
      <c r="J41" s="125">
        <f>IFERROR(I41/'General information'!$O$2,0)</f>
        <v>0</v>
      </c>
      <c r="K41" s="125">
        <f>IFERROR(I41/Airplanes!I26,0)</f>
        <v>0</v>
      </c>
      <c r="L41" s="125">
        <f>K41/365</f>
        <v>0</v>
      </c>
      <c r="O41" s="136" t="s">
        <v>1</v>
      </c>
      <c r="P41" s="125">
        <v>30</v>
      </c>
      <c r="Q41" s="125">
        <f>P41*'General information'!$O$2</f>
        <v>0</v>
      </c>
      <c r="R41" s="137">
        <f>IFERROR(Q41/Airplanes!L16,0)</f>
        <v>0</v>
      </c>
      <c r="S41" s="125">
        <f t="shared" si="6"/>
        <v>0</v>
      </c>
      <c r="U41" s="136" t="s">
        <v>1</v>
      </c>
      <c r="V41" s="125">
        <v>3000</v>
      </c>
      <c r="W41" s="125">
        <f>IFERROR(V41/'General information'!$O$2,0)</f>
        <v>0</v>
      </c>
      <c r="X41" s="125">
        <f>IFERROR(V41/Airplanes!I36,0)</f>
        <v>0</v>
      </c>
      <c r="Y41" s="125">
        <f>X41/365</f>
        <v>0</v>
      </c>
    </row>
    <row r="42" spans="2:25" x14ac:dyDescent="0.25">
      <c r="B42" s="136" t="s">
        <v>2</v>
      </c>
      <c r="C42" s="125">
        <v>80</v>
      </c>
      <c r="D42" s="125">
        <f>C42*'General information'!$O$2</f>
        <v>0</v>
      </c>
      <c r="E42" s="137">
        <f>IFERROR(D42/Airplanes!L7,0)</f>
        <v>0</v>
      </c>
      <c r="F42" s="125">
        <f t="shared" si="5"/>
        <v>0</v>
      </c>
      <c r="H42" s="136" t="s">
        <v>2</v>
      </c>
      <c r="I42" s="125">
        <f>J42*'General information'!$O$2</f>
        <v>0</v>
      </c>
      <c r="J42" s="125">
        <v>10</v>
      </c>
      <c r="K42" s="125">
        <f>IFERROR(I42/Airplanes!I27,0)</f>
        <v>0</v>
      </c>
      <c r="L42" s="125">
        <f>K42/365</f>
        <v>0</v>
      </c>
      <c r="O42" s="136" t="s">
        <v>2</v>
      </c>
      <c r="P42" s="125">
        <v>80</v>
      </c>
      <c r="Q42" s="125">
        <f>P42*'General information'!$O$2</f>
        <v>0</v>
      </c>
      <c r="R42" s="137">
        <f>IFERROR(Q42/Airplanes!L17,0)</f>
        <v>0</v>
      </c>
      <c r="S42" s="125">
        <f t="shared" si="6"/>
        <v>0</v>
      </c>
      <c r="U42" s="136" t="s">
        <v>2</v>
      </c>
      <c r="V42" s="125">
        <f>W42*'General information'!$O$2</f>
        <v>0</v>
      </c>
      <c r="W42" s="125">
        <v>10</v>
      </c>
      <c r="X42" s="125">
        <f>IFERROR(V42/Airplanes!I37,0)</f>
        <v>0</v>
      </c>
      <c r="Y42" s="125">
        <f>X42/365</f>
        <v>0</v>
      </c>
    </row>
    <row r="43" spans="2:25" x14ac:dyDescent="0.25">
      <c r="B43" s="136" t="s">
        <v>3</v>
      </c>
      <c r="C43" s="125">
        <v>180</v>
      </c>
      <c r="D43" s="125">
        <f>C43*'General information'!$O$2</f>
        <v>0</v>
      </c>
      <c r="E43" s="137">
        <f>IFERROR(D43/Airplanes!L8,0)</f>
        <v>0</v>
      </c>
      <c r="F43" s="125">
        <f t="shared" si="5"/>
        <v>0</v>
      </c>
      <c r="H43" s="136" t="s">
        <v>3</v>
      </c>
      <c r="I43" s="125">
        <v>8500</v>
      </c>
      <c r="J43" s="125">
        <f>IFERROR(I43/'General information'!$O$2,0)</f>
        <v>0</v>
      </c>
      <c r="K43" s="125">
        <f>IFERROR(I43/Airplanes!I28,0)</f>
        <v>0</v>
      </c>
      <c r="L43" s="125">
        <f>K43/365</f>
        <v>0</v>
      </c>
      <c r="O43" s="136" t="s">
        <v>3</v>
      </c>
      <c r="P43" s="125">
        <v>180</v>
      </c>
      <c r="Q43" s="125">
        <f>P43*'General information'!$O$2</f>
        <v>0</v>
      </c>
      <c r="R43" s="137">
        <f>IFERROR(Q43/Airplanes!L18,0)</f>
        <v>0</v>
      </c>
      <c r="S43" s="125">
        <f t="shared" si="6"/>
        <v>0</v>
      </c>
      <c r="U43" s="136" t="s">
        <v>3</v>
      </c>
      <c r="V43" s="125">
        <v>8500</v>
      </c>
      <c r="W43" s="125">
        <f>IFERROR(V43/'General information'!$O$2,0)</f>
        <v>0</v>
      </c>
      <c r="X43" s="125">
        <f>IFERROR(V43/Airplanes!I38,0)</f>
        <v>0</v>
      </c>
      <c r="Y43" s="125">
        <f>X43/365</f>
        <v>0</v>
      </c>
    </row>
    <row r="44" spans="2:25" x14ac:dyDescent="0.25">
      <c r="B44" s="136" t="s">
        <v>4</v>
      </c>
      <c r="C44" s="125">
        <v>380</v>
      </c>
      <c r="D44" s="125">
        <f>C44*'General information'!$O$2</f>
        <v>0</v>
      </c>
      <c r="E44" s="137">
        <f>IFERROR(D44/Airplanes!L9,0)</f>
        <v>0</v>
      </c>
      <c r="F44" s="125">
        <f t="shared" si="5"/>
        <v>0</v>
      </c>
      <c r="H44" s="136" t="s">
        <v>4</v>
      </c>
      <c r="I44" s="125">
        <f>J44*'General information'!$O$2</f>
        <v>0</v>
      </c>
      <c r="J44" s="125">
        <v>35</v>
      </c>
      <c r="K44" s="125">
        <f>IFERROR(I44/Airplanes!I29,0)</f>
        <v>0</v>
      </c>
      <c r="L44" s="125">
        <f>K44/365</f>
        <v>0</v>
      </c>
      <c r="O44" s="136" t="s">
        <v>4</v>
      </c>
      <c r="P44" s="125">
        <v>380</v>
      </c>
      <c r="Q44" s="125">
        <f>P44*'General information'!$O$2</f>
        <v>0</v>
      </c>
      <c r="R44" s="137">
        <f>IFERROR(Q44/Airplanes!L19,0)</f>
        <v>0</v>
      </c>
      <c r="S44" s="125">
        <f t="shared" si="6"/>
        <v>0</v>
      </c>
      <c r="U44" s="136" t="s">
        <v>4</v>
      </c>
      <c r="V44" s="125">
        <f>W44*'General information'!$O$2</f>
        <v>0</v>
      </c>
      <c r="W44" s="125">
        <v>35</v>
      </c>
      <c r="X44" s="125">
        <f>IFERROR(V44/Airplanes!I39,0)</f>
        <v>0</v>
      </c>
      <c r="Y44" s="125">
        <f>X44/365</f>
        <v>0</v>
      </c>
    </row>
    <row r="45" spans="2:25" x14ac:dyDescent="0.25">
      <c r="B45" s="136" t="s">
        <v>6</v>
      </c>
      <c r="C45" s="28">
        <v>780</v>
      </c>
      <c r="D45" s="125">
        <f>C45*'General information'!$O$2</f>
        <v>0</v>
      </c>
      <c r="E45" s="137">
        <f>IFERROR(D45/Airplanes!L10,0)</f>
        <v>0</v>
      </c>
      <c r="F45" s="125">
        <f t="shared" si="5"/>
        <v>0</v>
      </c>
      <c r="O45" s="136" t="s">
        <v>6</v>
      </c>
      <c r="P45" s="28">
        <v>780</v>
      </c>
      <c r="Q45" s="125">
        <f>P45*'General information'!$O$2</f>
        <v>0</v>
      </c>
      <c r="R45" s="137">
        <f>IFERROR(Q45/Airplanes!L20,0)</f>
        <v>0</v>
      </c>
      <c r="S45" s="125">
        <f t="shared" si="6"/>
        <v>0</v>
      </c>
    </row>
    <row r="46" spans="2:25" x14ac:dyDescent="0.25">
      <c r="B46" s="136" t="s">
        <v>7</v>
      </c>
      <c r="C46" s="28">
        <v>1230</v>
      </c>
      <c r="D46" s="125">
        <f>C46*'General information'!$O$2</f>
        <v>0</v>
      </c>
      <c r="E46" s="137">
        <f>IFERROR(D46/Airplanes!L11,0)</f>
        <v>0</v>
      </c>
      <c r="F46" s="125">
        <f t="shared" si="5"/>
        <v>0</v>
      </c>
      <c r="O46" s="136" t="s">
        <v>7</v>
      </c>
      <c r="P46" s="28">
        <v>1230</v>
      </c>
      <c r="Q46" s="125">
        <f>P46*'General information'!$O$2</f>
        <v>0</v>
      </c>
      <c r="R46" s="137">
        <f>IFERROR(Q46/Airplanes!L21,0)</f>
        <v>0</v>
      </c>
      <c r="S46" s="125">
        <f t="shared" si="6"/>
        <v>0</v>
      </c>
    </row>
  </sheetData>
  <sheetProtection sheet="1" objects="1" scenarios="1"/>
  <mergeCells count="20">
    <mergeCell ref="B37:Y37"/>
    <mergeCell ref="B38:F38"/>
    <mergeCell ref="H38:L38"/>
    <mergeCell ref="O38:S38"/>
    <mergeCell ref="U38:Y38"/>
    <mergeCell ref="B25:Y25"/>
    <mergeCell ref="B26:F26"/>
    <mergeCell ref="H26:L26"/>
    <mergeCell ref="O26:S26"/>
    <mergeCell ref="U26:Y26"/>
    <mergeCell ref="U2:Y2"/>
    <mergeCell ref="B1:Y1"/>
    <mergeCell ref="B13:Y13"/>
    <mergeCell ref="O14:S14"/>
    <mergeCell ref="U14:Y14"/>
    <mergeCell ref="B14:F14"/>
    <mergeCell ref="H14:L14"/>
    <mergeCell ref="B2:F2"/>
    <mergeCell ref="H2:L2"/>
    <mergeCell ref="O2:S2"/>
  </mergeCells>
  <conditionalFormatting sqref="F11">
    <cfRule type="colorScale" priority="187">
      <colorScale>
        <cfvo type="num" val="-0.01"/>
        <cfvo type="num" val="0"/>
        <cfvo type="num" val="300"/>
        <color rgb="FFCC3300"/>
        <color theme="9"/>
        <color rgb="FFFFEF9C"/>
      </colorScale>
    </cfRule>
  </conditionalFormatting>
  <conditionalFormatting sqref="E11">
    <cfRule type="colorScale" priority="181">
      <colorScale>
        <cfvo type="num" val="-0.01"/>
        <cfvo type="num" val="0"/>
        <cfvo type="num" val="300"/>
        <color rgb="FFCC3300"/>
        <color theme="9"/>
        <color rgb="FFFFEF9C"/>
      </colorScale>
    </cfRule>
  </conditionalFormatting>
  <conditionalFormatting sqref="K4:L8 X28:Y32 E28:F34 K28:L32 R28:S34 E40:F46 K40:L44 R40:S46 X40:Y44 X4:Y8 E16:F22 E4:F10 R4:S10 K16:L20 R16:S22 X16:Y20">
    <cfRule type="cellIs" dxfId="2" priority="1" operator="equal">
      <formula>0</formula>
    </cfRule>
    <cfRule type="cellIs" dxfId="1" priority="2" operator="greaterThan">
      <formula>0.0001</formula>
    </cfRule>
    <cfRule type="cellIs" dxfId="0" priority="3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S22"/>
  <sheetViews>
    <sheetView showGridLines="0" workbookViewId="0">
      <selection activeCell="B3" sqref="B3"/>
    </sheetView>
  </sheetViews>
  <sheetFormatPr defaultRowHeight="15" x14ac:dyDescent="0.25"/>
  <cols>
    <col min="1" max="1" width="8.28515625" customWidth="1"/>
    <col min="2" max="2" width="13.28515625" customWidth="1"/>
    <col min="3" max="3" width="15.5703125" customWidth="1"/>
    <col min="4" max="4" width="4.42578125" customWidth="1"/>
    <col min="5" max="5" width="8.28515625" customWidth="1"/>
    <col min="6" max="6" width="13.28515625" customWidth="1"/>
    <col min="7" max="7" width="15.5703125" customWidth="1"/>
    <col min="8" max="8" width="4.42578125" customWidth="1"/>
    <col min="9" max="9" width="8.28515625" customWidth="1"/>
    <col min="10" max="10" width="13.28515625" customWidth="1"/>
    <col min="11" max="11" width="15.5703125" customWidth="1"/>
    <col min="12" max="12" width="4.42578125" customWidth="1"/>
    <col min="13" max="13" width="8.28515625" customWidth="1"/>
    <col min="14" max="14" width="13.28515625" customWidth="1"/>
    <col min="15" max="15" width="15.5703125" customWidth="1"/>
    <col min="16" max="16" width="4.42578125" customWidth="1"/>
    <col min="17" max="17" width="8.28515625" customWidth="1"/>
    <col min="18" max="18" width="13.28515625" customWidth="1"/>
    <col min="19" max="19" width="15.5703125" customWidth="1"/>
  </cols>
  <sheetData>
    <row r="1" spans="1:19" s="18" customFormat="1" ht="15" customHeight="1" x14ac:dyDescent="0.25">
      <c r="A1" s="304" t="s">
        <v>94</v>
      </c>
      <c r="B1" s="305" t="s">
        <v>97</v>
      </c>
      <c r="C1" s="305"/>
      <c r="E1" s="304" t="s">
        <v>94</v>
      </c>
      <c r="F1" s="305" t="s">
        <v>97</v>
      </c>
      <c r="G1" s="305"/>
      <c r="I1" s="304" t="s">
        <v>94</v>
      </c>
      <c r="J1" s="305" t="s">
        <v>97</v>
      </c>
      <c r="K1" s="305"/>
      <c r="M1" s="304" t="s">
        <v>94</v>
      </c>
      <c r="N1" s="305" t="s">
        <v>97</v>
      </c>
      <c r="O1" s="305"/>
      <c r="Q1" s="304" t="s">
        <v>94</v>
      </c>
      <c r="R1" s="305" t="s">
        <v>97</v>
      </c>
      <c r="S1" s="305"/>
    </row>
    <row r="2" spans="1:19" s="18" customFormat="1" x14ac:dyDescent="0.25">
      <c r="A2" s="304"/>
      <c r="B2" s="19" t="s">
        <v>95</v>
      </c>
      <c r="C2" s="19" t="s">
        <v>96</v>
      </c>
      <c r="E2" s="304"/>
      <c r="F2" s="19" t="s">
        <v>95</v>
      </c>
      <c r="G2" s="19" t="s">
        <v>96</v>
      </c>
      <c r="I2" s="304"/>
      <c r="J2" s="19" t="s">
        <v>95</v>
      </c>
      <c r="K2" s="19" t="s">
        <v>96</v>
      </c>
      <c r="M2" s="304"/>
      <c r="N2" s="19" t="s">
        <v>95</v>
      </c>
      <c r="O2" s="19" t="s">
        <v>96</v>
      </c>
      <c r="Q2" s="304"/>
      <c r="R2" s="19" t="s">
        <v>95</v>
      </c>
      <c r="S2" s="19" t="s">
        <v>96</v>
      </c>
    </row>
    <row r="3" spans="1:19" x14ac:dyDescent="0.25">
      <c r="A3" s="17">
        <v>0.01</v>
      </c>
      <c r="B3" s="5">
        <v>0.99009899999999995</v>
      </c>
      <c r="C3" s="5">
        <v>0.97050000000000003</v>
      </c>
      <c r="E3" s="17">
        <v>0.21</v>
      </c>
      <c r="F3" s="5"/>
      <c r="G3" s="5"/>
      <c r="I3" s="17">
        <v>0.41</v>
      </c>
      <c r="J3" s="5"/>
      <c r="K3" s="5"/>
      <c r="M3" s="17">
        <v>0.61</v>
      </c>
      <c r="N3" s="5"/>
      <c r="O3" s="5"/>
      <c r="Q3" s="17">
        <v>0.81</v>
      </c>
      <c r="R3" s="5"/>
      <c r="S3" s="5"/>
    </row>
    <row r="4" spans="1:19" x14ac:dyDescent="0.25">
      <c r="A4" s="17">
        <v>0.02</v>
      </c>
      <c r="B4" s="5"/>
      <c r="C4" s="5"/>
      <c r="E4" s="17">
        <v>0.22</v>
      </c>
      <c r="F4" s="5"/>
      <c r="G4" s="5"/>
      <c r="I4" s="17">
        <v>0.42</v>
      </c>
      <c r="J4" s="5"/>
      <c r="K4" s="5"/>
      <c r="M4" s="17">
        <v>0.62</v>
      </c>
      <c r="N4" s="5"/>
      <c r="O4" s="5"/>
      <c r="Q4" s="17">
        <v>0.82</v>
      </c>
      <c r="R4" s="5"/>
      <c r="S4" s="5"/>
    </row>
    <row r="5" spans="1:19" x14ac:dyDescent="0.25">
      <c r="A5" s="17">
        <v>0.03</v>
      </c>
      <c r="B5" s="5"/>
      <c r="C5" s="5"/>
      <c r="E5" s="17">
        <v>0.23</v>
      </c>
      <c r="F5" s="5"/>
      <c r="G5" s="5"/>
      <c r="I5" s="17">
        <v>0.43</v>
      </c>
      <c r="J5" s="5"/>
      <c r="K5" s="5"/>
      <c r="M5" s="17">
        <v>0.63</v>
      </c>
      <c r="N5" s="5"/>
      <c r="O5" s="5"/>
      <c r="Q5" s="17">
        <v>0.83</v>
      </c>
      <c r="R5" s="5"/>
      <c r="S5" s="5"/>
    </row>
    <row r="6" spans="1:19" x14ac:dyDescent="0.25">
      <c r="A6" s="17">
        <v>0.04</v>
      </c>
      <c r="B6" s="5"/>
      <c r="C6" s="5"/>
      <c r="E6" s="17">
        <v>0.24</v>
      </c>
      <c r="F6" s="5"/>
      <c r="G6" s="5"/>
      <c r="I6" s="17">
        <v>0.44</v>
      </c>
      <c r="J6" s="5"/>
      <c r="K6" s="5"/>
      <c r="M6" s="17">
        <v>0.64</v>
      </c>
      <c r="N6" s="5"/>
      <c r="O6" s="5"/>
      <c r="Q6" s="17">
        <v>0.84</v>
      </c>
      <c r="R6" s="5"/>
      <c r="S6" s="5"/>
    </row>
    <row r="7" spans="1:19" x14ac:dyDescent="0.25">
      <c r="A7" s="17">
        <v>0.05</v>
      </c>
      <c r="B7" s="5">
        <v>4.7618999999999998</v>
      </c>
      <c r="C7" s="5">
        <v>4.6703999999999999</v>
      </c>
      <c r="E7" s="17">
        <v>0.25</v>
      </c>
      <c r="F7" s="5"/>
      <c r="G7" s="5"/>
      <c r="I7" s="17">
        <v>0.45</v>
      </c>
      <c r="J7" s="5"/>
      <c r="K7" s="5"/>
      <c r="M7" s="17">
        <v>0.65</v>
      </c>
      <c r="N7" s="5"/>
      <c r="O7" s="5"/>
      <c r="Q7" s="17">
        <v>0.85</v>
      </c>
      <c r="R7" s="5"/>
      <c r="S7" s="5"/>
    </row>
    <row r="8" spans="1:19" x14ac:dyDescent="0.25">
      <c r="A8" s="17">
        <v>0.06</v>
      </c>
      <c r="B8" s="5"/>
      <c r="C8" s="5"/>
      <c r="E8" s="17">
        <v>0.26</v>
      </c>
      <c r="F8" s="5"/>
      <c r="G8" s="5"/>
      <c r="I8" s="17">
        <v>0.46</v>
      </c>
      <c r="J8" s="5"/>
      <c r="K8" s="5"/>
      <c r="M8" s="17">
        <v>0.66</v>
      </c>
      <c r="N8" s="5"/>
      <c r="O8" s="5"/>
      <c r="Q8" s="17">
        <v>0.86</v>
      </c>
      <c r="R8" s="5"/>
      <c r="S8" s="5"/>
    </row>
    <row r="9" spans="1:19" x14ac:dyDescent="0.25">
      <c r="A9" s="17">
        <v>7.0000000000000007E-2</v>
      </c>
      <c r="B9" s="5"/>
      <c r="C9" s="5"/>
      <c r="E9" s="17">
        <v>0.27</v>
      </c>
      <c r="F9" s="5"/>
      <c r="G9" s="5"/>
      <c r="I9" s="17">
        <v>0.47</v>
      </c>
      <c r="J9" s="5"/>
      <c r="K9" s="5"/>
      <c r="M9" s="17">
        <v>0.67</v>
      </c>
      <c r="N9" s="5"/>
      <c r="O9" s="5"/>
      <c r="Q9" s="17">
        <v>0.87</v>
      </c>
      <c r="R9" s="5"/>
      <c r="S9" s="5"/>
    </row>
    <row r="10" spans="1:19" x14ac:dyDescent="0.25">
      <c r="A10" s="17">
        <v>0.08</v>
      </c>
      <c r="B10" s="5"/>
      <c r="C10" s="5"/>
      <c r="E10" s="17">
        <v>0.28000000000000003</v>
      </c>
      <c r="F10" s="5"/>
      <c r="G10" s="5"/>
      <c r="I10" s="17">
        <v>0.48</v>
      </c>
      <c r="J10" s="5"/>
      <c r="K10" s="5"/>
      <c r="M10" s="17">
        <v>0.68</v>
      </c>
      <c r="N10" s="5"/>
      <c r="O10" s="5"/>
      <c r="Q10" s="17">
        <v>0.88</v>
      </c>
      <c r="R10" s="5"/>
      <c r="S10" s="5"/>
    </row>
    <row r="11" spans="1:19" x14ac:dyDescent="0.25">
      <c r="A11" s="17">
        <v>0.09</v>
      </c>
      <c r="B11" s="5"/>
      <c r="C11" s="5"/>
      <c r="E11" s="17">
        <v>0.28999999999999998</v>
      </c>
      <c r="F11" s="5"/>
      <c r="G11" s="5"/>
      <c r="I11" s="17">
        <v>0.49</v>
      </c>
      <c r="J11" s="5"/>
      <c r="K11" s="5"/>
      <c r="M11" s="17">
        <v>0.69</v>
      </c>
      <c r="N11" s="5"/>
      <c r="O11" s="5"/>
      <c r="Q11" s="17">
        <v>0.89</v>
      </c>
      <c r="R11" s="5"/>
      <c r="S11" s="5"/>
    </row>
    <row r="12" spans="1:19" x14ac:dyDescent="0.25">
      <c r="A12" s="17">
        <v>0.1</v>
      </c>
      <c r="B12" s="5"/>
      <c r="C12" s="5"/>
      <c r="E12" s="17">
        <v>0.3</v>
      </c>
      <c r="F12" s="5"/>
      <c r="G12" s="5"/>
      <c r="I12" s="17">
        <v>0.5</v>
      </c>
      <c r="J12" s="5"/>
      <c r="K12" s="5"/>
      <c r="M12" s="17">
        <v>0.7</v>
      </c>
      <c r="N12" s="5"/>
      <c r="O12" s="5"/>
      <c r="Q12" s="17">
        <v>0.9</v>
      </c>
      <c r="R12" s="5"/>
      <c r="S12" s="5"/>
    </row>
    <row r="13" spans="1:19" x14ac:dyDescent="0.25">
      <c r="A13" s="17">
        <v>0.11</v>
      </c>
      <c r="B13" s="5"/>
      <c r="C13" s="5"/>
      <c r="E13" s="17">
        <v>0.31</v>
      </c>
      <c r="F13" s="5"/>
      <c r="G13" s="5"/>
      <c r="I13" s="17">
        <v>0.51</v>
      </c>
      <c r="J13" s="5"/>
      <c r="K13" s="5"/>
      <c r="M13" s="17">
        <v>0.71</v>
      </c>
      <c r="N13" s="5"/>
      <c r="O13" s="5"/>
      <c r="Q13" s="17">
        <v>0.91</v>
      </c>
      <c r="R13" s="5"/>
      <c r="S13" s="5"/>
    </row>
    <row r="14" spans="1:19" x14ac:dyDescent="0.25">
      <c r="A14" s="17">
        <v>0.12</v>
      </c>
      <c r="B14" s="5"/>
      <c r="C14" s="5"/>
      <c r="E14" s="17">
        <v>0.32</v>
      </c>
      <c r="F14" s="5"/>
      <c r="G14" s="5"/>
      <c r="I14" s="17">
        <v>0.52</v>
      </c>
      <c r="J14" s="5"/>
      <c r="K14" s="5"/>
      <c r="M14" s="17">
        <v>0.72</v>
      </c>
      <c r="N14" s="5"/>
      <c r="O14" s="5"/>
      <c r="Q14" s="17">
        <v>0.92</v>
      </c>
      <c r="R14" s="5"/>
      <c r="S14" s="5"/>
    </row>
    <row r="15" spans="1:19" x14ac:dyDescent="0.25">
      <c r="A15" s="17">
        <v>0.13</v>
      </c>
      <c r="B15" s="5"/>
      <c r="C15" s="5"/>
      <c r="E15" s="17">
        <v>0.33</v>
      </c>
      <c r="F15" s="5"/>
      <c r="G15" s="5"/>
      <c r="I15" s="17">
        <v>0.53</v>
      </c>
      <c r="J15" s="5"/>
      <c r="K15" s="5"/>
      <c r="M15" s="17">
        <v>0.73</v>
      </c>
      <c r="N15" s="5"/>
      <c r="O15" s="5"/>
      <c r="Q15" s="17">
        <v>0.93</v>
      </c>
      <c r="R15" s="5"/>
      <c r="S15" s="5"/>
    </row>
    <row r="16" spans="1:19" x14ac:dyDescent="0.25">
      <c r="A16" s="17">
        <v>0.14000000000000001</v>
      </c>
      <c r="B16" s="5"/>
      <c r="C16" s="5"/>
      <c r="E16" s="17">
        <v>0.34</v>
      </c>
      <c r="F16" s="5"/>
      <c r="G16" s="5"/>
      <c r="I16" s="17">
        <v>0.54</v>
      </c>
      <c r="J16" s="5"/>
      <c r="K16" s="5"/>
      <c r="M16" s="17">
        <v>0.74</v>
      </c>
      <c r="N16" s="5"/>
      <c r="O16" s="5"/>
      <c r="Q16" s="17">
        <v>0.94</v>
      </c>
      <c r="R16" s="5"/>
      <c r="S16" s="5"/>
    </row>
    <row r="17" spans="1:19" x14ac:dyDescent="0.25">
      <c r="A17" s="17">
        <v>0.15</v>
      </c>
      <c r="B17" s="5"/>
      <c r="C17" s="5"/>
      <c r="E17" s="17">
        <v>0.35</v>
      </c>
      <c r="F17" s="5"/>
      <c r="G17" s="5"/>
      <c r="I17" s="17">
        <v>0.55000000000000004</v>
      </c>
      <c r="J17" s="5"/>
      <c r="K17" s="5"/>
      <c r="M17" s="17">
        <v>0.75</v>
      </c>
      <c r="N17" s="5"/>
      <c r="O17" s="5"/>
      <c r="Q17" s="17">
        <v>0.95</v>
      </c>
      <c r="R17" s="5"/>
      <c r="S17" s="5"/>
    </row>
    <row r="18" spans="1:19" x14ac:dyDescent="0.25">
      <c r="A18" s="17">
        <v>0.16</v>
      </c>
      <c r="B18" s="5"/>
      <c r="C18" s="5"/>
      <c r="E18" s="17">
        <v>0.36</v>
      </c>
      <c r="F18" s="5"/>
      <c r="G18" s="5"/>
      <c r="I18" s="17">
        <v>0.56000000000000005</v>
      </c>
      <c r="J18" s="5"/>
      <c r="K18" s="5"/>
      <c r="M18" s="17">
        <v>0.76</v>
      </c>
      <c r="N18" s="5"/>
      <c r="O18" s="5"/>
      <c r="Q18" s="17">
        <v>0.96</v>
      </c>
      <c r="R18" s="5"/>
      <c r="S18" s="5"/>
    </row>
    <row r="19" spans="1:19" x14ac:dyDescent="0.25">
      <c r="A19" s="17">
        <v>0.17</v>
      </c>
      <c r="B19" s="5"/>
      <c r="C19" s="5"/>
      <c r="E19" s="17">
        <v>0.37</v>
      </c>
      <c r="F19" s="5"/>
      <c r="G19" s="5"/>
      <c r="I19" s="17">
        <v>0.56999999999999995</v>
      </c>
      <c r="J19" s="5"/>
      <c r="K19" s="5"/>
      <c r="M19" s="17">
        <v>0.77</v>
      </c>
      <c r="N19" s="5"/>
      <c r="O19" s="5"/>
      <c r="Q19" s="17">
        <v>0.97</v>
      </c>
      <c r="R19" s="5"/>
      <c r="S19" s="5"/>
    </row>
    <row r="20" spans="1:19" x14ac:dyDescent="0.25">
      <c r="A20" s="17">
        <v>0.18</v>
      </c>
      <c r="B20" s="5"/>
      <c r="C20" s="5"/>
      <c r="E20" s="17">
        <v>0.38</v>
      </c>
      <c r="F20" s="5"/>
      <c r="G20" s="5"/>
      <c r="I20" s="17">
        <v>0.57999999999999996</v>
      </c>
      <c r="J20" s="5"/>
      <c r="K20" s="5"/>
      <c r="M20" s="17">
        <v>0.78</v>
      </c>
      <c r="N20" s="5"/>
      <c r="O20" s="5"/>
      <c r="Q20" s="17">
        <v>0.98</v>
      </c>
      <c r="R20" s="5"/>
      <c r="S20" s="5"/>
    </row>
    <row r="21" spans="1:19" x14ac:dyDescent="0.25">
      <c r="A21" s="17">
        <v>0.19</v>
      </c>
      <c r="B21" s="5"/>
      <c r="C21" s="5"/>
      <c r="E21" s="17">
        <v>0.39</v>
      </c>
      <c r="F21" s="5"/>
      <c r="G21" s="5"/>
      <c r="I21" s="17">
        <v>0.59</v>
      </c>
      <c r="J21" s="5"/>
      <c r="K21" s="5"/>
      <c r="M21" s="17">
        <v>0.79</v>
      </c>
      <c r="N21" s="5"/>
      <c r="O21" s="5"/>
      <c r="Q21" s="17">
        <v>0.99</v>
      </c>
      <c r="R21" s="5"/>
      <c r="S21" s="5"/>
    </row>
    <row r="22" spans="1:19" x14ac:dyDescent="0.25">
      <c r="A22" s="17">
        <v>0.2</v>
      </c>
      <c r="B22" s="5"/>
      <c r="C22" s="5"/>
      <c r="E22" s="17">
        <v>0.4</v>
      </c>
      <c r="F22" s="5"/>
      <c r="G22" s="5"/>
      <c r="I22" s="17">
        <v>0.6</v>
      </c>
      <c r="J22" s="5"/>
      <c r="K22" s="5"/>
      <c r="M22" s="17">
        <v>0.8</v>
      </c>
      <c r="N22" s="5"/>
      <c r="O22" s="5"/>
      <c r="Q22" s="17">
        <v>1</v>
      </c>
      <c r="R22" s="5"/>
      <c r="S22" s="5"/>
    </row>
  </sheetData>
  <sheetProtection sheet="1" objects="1" scenarios="1"/>
  <mergeCells count="10">
    <mergeCell ref="M1:M2"/>
    <mergeCell ref="N1:O1"/>
    <mergeCell ref="Q1:Q2"/>
    <mergeCell ref="R1:S1"/>
    <mergeCell ref="A1:A2"/>
    <mergeCell ref="B1:C1"/>
    <mergeCell ref="E1:E2"/>
    <mergeCell ref="F1:G1"/>
    <mergeCell ref="I1:I2"/>
    <mergeCell ref="J1:K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General information</vt:lpstr>
      <vt:lpstr>Houses</vt:lpstr>
      <vt:lpstr>Weapons</vt:lpstr>
      <vt:lpstr>Airplanes</vt:lpstr>
      <vt:lpstr>Food</vt:lpstr>
      <vt:lpstr>Consolidated Results</vt:lpstr>
      <vt:lpstr>Consolidated Stock</vt:lpstr>
      <vt:lpstr>Return on Investment</vt:lpstr>
      <vt:lpstr>Effective 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Romão</dc:creator>
  <cp:lastModifiedBy>Rafael Romão</cp:lastModifiedBy>
  <dcterms:created xsi:type="dcterms:W3CDTF">2016-07-05T02:07:06Z</dcterms:created>
  <dcterms:modified xsi:type="dcterms:W3CDTF">2022-04-28T04:01:41Z</dcterms:modified>
</cp:coreProperties>
</file>